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3040" windowHeight="9360"/>
  </bookViews>
  <sheets>
    <sheet name="ТИТУЛ" sheetId="8" r:id="rId1"/>
    <sheet name="ПОКАЗАТЕЛИ" sheetId="16" r:id="rId2"/>
    <sheet name="ЗАКУПКИ" sheetId="97" r:id="rId3"/>
    <sheet name="ИНЫЕ ЦЕЛИ" sheetId="19" r:id="rId4"/>
    <sheet name="УЧРЕЖДЕНИЯ" sheetId="17" state="veryHidden" r:id="rId5"/>
    <sheet name="КБК" sheetId="18" state="veryHidden" r:id="rId6"/>
    <sheet name="ПРОВЕРКИ" sheetId="96" state="veryHidden" r:id="rId7"/>
  </sheets>
  <definedNames>
    <definedName name="_xlnm._FilterDatabase" localSheetId="5" hidden="1">КБК!$A$4:$H$1162</definedName>
    <definedName name="_xlnm._FilterDatabase" localSheetId="4" hidden="1">УЧРЕЖДЕНИЯ!$A$2:$M$52</definedName>
    <definedName name="_xlnm.Print_Titles" localSheetId="3">'ИНЫЕ ЦЕЛИ'!$16:$18</definedName>
    <definedName name="_xlnm.Print_Titles" localSheetId="1">ПОКАЗАТЕЛИ!$2:$5</definedName>
    <definedName name="_xlnm.Print_Area" localSheetId="2">ЗАКУПКИ!$A$1:$I$54</definedName>
    <definedName name="_xlnm.Print_Area" localSheetId="3">'ИНЫЕ ЦЕЛИ'!$A$1:$M$98</definedName>
    <definedName name="_xlnm.Print_Area" localSheetId="1">ПОКАЗАТЕЛИ!$A$1:$N$353</definedName>
    <definedName name="_xlnm.Print_Area" localSheetId="0">ТИТУЛ!$A$1:$DD$55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9" i="16" l="1"/>
  <c r="L187" i="16"/>
  <c r="I187" i="16"/>
  <c r="J187" i="16"/>
  <c r="K187" i="16"/>
  <c r="M187" i="16"/>
  <c r="N187" i="16"/>
  <c r="G71" i="16"/>
  <c r="H71" i="16"/>
  <c r="I71" i="16"/>
  <c r="J71" i="16"/>
  <c r="K71" i="16"/>
  <c r="L71" i="16"/>
  <c r="M71" i="16"/>
  <c r="N71" i="16"/>
  <c r="F71" i="16"/>
  <c r="I680" i="18"/>
  <c r="D680" i="18"/>
  <c r="H317" i="16" l="1"/>
  <c r="H318" i="16"/>
  <c r="G317" i="16"/>
  <c r="G318" i="16"/>
  <c r="F317" i="16"/>
  <c r="F318" i="16"/>
  <c r="I22" i="16"/>
  <c r="I26" i="16"/>
  <c r="I25" i="16" s="1"/>
  <c r="I40" i="16"/>
  <c r="I44" i="16"/>
  <c r="I63" i="16"/>
  <c r="I68" i="16"/>
  <c r="I86" i="16"/>
  <c r="I100" i="16"/>
  <c r="I109" i="16"/>
  <c r="I113" i="16"/>
  <c r="I112" i="16" s="1"/>
  <c r="I124" i="16"/>
  <c r="I130" i="16"/>
  <c r="I134" i="16"/>
  <c r="I136" i="16"/>
  <c r="I138" i="16"/>
  <c r="I141" i="16"/>
  <c r="I145" i="16"/>
  <c r="I149" i="16"/>
  <c r="I159" i="16"/>
  <c r="I167" i="16"/>
  <c r="I166" i="16" s="1"/>
  <c r="I175" i="16"/>
  <c r="I177" i="16"/>
  <c r="I319" i="16"/>
  <c r="I331" i="16"/>
  <c r="I334" i="16"/>
  <c r="I330" i="16" s="1"/>
  <c r="I338" i="16"/>
  <c r="I337" i="16" s="1"/>
  <c r="I341" i="16"/>
  <c r="I344" i="16"/>
  <c r="I343" i="16" s="1"/>
  <c r="O73" i="16"/>
  <c r="O72" i="16"/>
  <c r="G72" i="16"/>
  <c r="H72" i="16"/>
  <c r="G73" i="16"/>
  <c r="H73" i="16"/>
  <c r="G74" i="16"/>
  <c r="H74" i="16"/>
  <c r="G75" i="16"/>
  <c r="H75" i="16"/>
  <c r="G76" i="16"/>
  <c r="H76" i="16"/>
  <c r="G77" i="16"/>
  <c r="H77" i="16"/>
  <c r="F72" i="16"/>
  <c r="F73" i="16"/>
  <c r="F74" i="16"/>
  <c r="G78" i="16"/>
  <c r="H78" i="16"/>
  <c r="G79" i="16"/>
  <c r="H79" i="16"/>
  <c r="G80" i="16"/>
  <c r="H80" i="16"/>
  <c r="G81" i="16"/>
  <c r="H81" i="16"/>
  <c r="G82" i="16"/>
  <c r="H82" i="16"/>
  <c r="G83" i="16"/>
  <c r="H83" i="16"/>
  <c r="F78" i="16"/>
  <c r="F79" i="16"/>
  <c r="F80" i="16"/>
  <c r="F81" i="16"/>
  <c r="F82" i="16"/>
  <c r="F83" i="16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146" i="18"/>
  <c r="I147" i="18"/>
  <c r="I148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74" i="18"/>
  <c r="I175" i="18"/>
  <c r="I176" i="18"/>
  <c r="I177" i="18"/>
  <c r="I178" i="18"/>
  <c r="I179" i="18"/>
  <c r="I180" i="18"/>
  <c r="I181" i="18"/>
  <c r="I182" i="18"/>
  <c r="I183" i="18"/>
  <c r="I184" i="18"/>
  <c r="I185" i="18"/>
  <c r="I186" i="18"/>
  <c r="I187" i="18"/>
  <c r="I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205" i="18"/>
  <c r="I206" i="18"/>
  <c r="I207" i="18"/>
  <c r="I208" i="18"/>
  <c r="I209" i="18"/>
  <c r="I210" i="18"/>
  <c r="I211" i="18"/>
  <c r="I212" i="18"/>
  <c r="I213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37" i="18"/>
  <c r="I238" i="18"/>
  <c r="I239" i="18"/>
  <c r="I240" i="18"/>
  <c r="I241" i="18"/>
  <c r="I242" i="18"/>
  <c r="I243" i="18"/>
  <c r="I244" i="18"/>
  <c r="I245" i="18"/>
  <c r="I246" i="18"/>
  <c r="I247" i="18"/>
  <c r="I248" i="18"/>
  <c r="I249" i="18"/>
  <c r="I250" i="18"/>
  <c r="I251" i="18"/>
  <c r="I252" i="18"/>
  <c r="I253" i="18"/>
  <c r="I254" i="18"/>
  <c r="I255" i="18"/>
  <c r="I256" i="18"/>
  <c r="I257" i="18"/>
  <c r="I258" i="18"/>
  <c r="I259" i="18"/>
  <c r="I260" i="18"/>
  <c r="I261" i="18"/>
  <c r="I262" i="18"/>
  <c r="I263" i="18"/>
  <c r="I264" i="18"/>
  <c r="I265" i="18"/>
  <c r="I266" i="18"/>
  <c r="I267" i="18"/>
  <c r="I268" i="18"/>
  <c r="I269" i="18"/>
  <c r="I270" i="18"/>
  <c r="I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89" i="18"/>
  <c r="I290" i="18"/>
  <c r="I291" i="18"/>
  <c r="I292" i="18"/>
  <c r="I293" i="18"/>
  <c r="I294" i="18"/>
  <c r="I295" i="18"/>
  <c r="I296" i="18"/>
  <c r="I297" i="18"/>
  <c r="I298" i="18"/>
  <c r="I299" i="18"/>
  <c r="I300" i="18"/>
  <c r="I301" i="18"/>
  <c r="I302" i="18"/>
  <c r="I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28" i="18"/>
  <c r="I329" i="18"/>
  <c r="I330" i="18"/>
  <c r="I331" i="18"/>
  <c r="I332" i="18"/>
  <c r="I333" i="18"/>
  <c r="I334" i="18"/>
  <c r="I335" i="18"/>
  <c r="I336" i="18"/>
  <c r="I337" i="18"/>
  <c r="I338" i="18"/>
  <c r="I339" i="18"/>
  <c r="I340" i="18"/>
  <c r="I341" i="18"/>
  <c r="I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416" i="18"/>
  <c r="I417" i="18"/>
  <c r="I418" i="18"/>
  <c r="I419" i="18"/>
  <c r="I420" i="18"/>
  <c r="I421" i="18"/>
  <c r="I422" i="18"/>
  <c r="I423" i="18"/>
  <c r="I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51" i="18"/>
  <c r="I452" i="18"/>
  <c r="I453" i="18"/>
  <c r="I454" i="18"/>
  <c r="I455" i="18"/>
  <c r="I456" i="18"/>
  <c r="I457" i="18"/>
  <c r="I458" i="18"/>
  <c r="I459" i="18"/>
  <c r="I460" i="18"/>
  <c r="I461" i="18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503" i="18"/>
  <c r="I504" i="18"/>
  <c r="I505" i="18"/>
  <c r="I506" i="18"/>
  <c r="I507" i="18"/>
  <c r="I508" i="18"/>
  <c r="I509" i="18"/>
  <c r="I510" i="18"/>
  <c r="I511" i="18"/>
  <c r="I512" i="18"/>
  <c r="I513" i="18"/>
  <c r="I514" i="18"/>
  <c r="I515" i="18"/>
  <c r="I516" i="18"/>
  <c r="I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44" i="18"/>
  <c r="I545" i="18"/>
  <c r="I546" i="18"/>
  <c r="I547" i="18"/>
  <c r="I548" i="18"/>
  <c r="I549" i="18"/>
  <c r="I550" i="18"/>
  <c r="I551" i="18"/>
  <c r="I552" i="18"/>
  <c r="I553" i="18"/>
  <c r="I554" i="18"/>
  <c r="I555" i="18"/>
  <c r="I556" i="18"/>
  <c r="I557" i="18"/>
  <c r="I558" i="18"/>
  <c r="I559" i="18"/>
  <c r="I560" i="18"/>
  <c r="I561" i="18"/>
  <c r="I562" i="18"/>
  <c r="I563" i="18"/>
  <c r="I564" i="18"/>
  <c r="I565" i="18"/>
  <c r="I566" i="18"/>
  <c r="I567" i="18"/>
  <c r="I568" i="18"/>
  <c r="I569" i="18"/>
  <c r="I570" i="18"/>
  <c r="I571" i="18"/>
  <c r="I572" i="18"/>
  <c r="I573" i="18"/>
  <c r="I574" i="18"/>
  <c r="I575" i="18"/>
  <c r="I576" i="18"/>
  <c r="I577" i="18"/>
  <c r="I578" i="18"/>
  <c r="I579" i="18"/>
  <c r="I580" i="18"/>
  <c r="I581" i="18"/>
  <c r="I582" i="18"/>
  <c r="I583" i="18"/>
  <c r="I584" i="18"/>
  <c r="I585" i="18"/>
  <c r="I586" i="18"/>
  <c r="I587" i="18"/>
  <c r="I588" i="18"/>
  <c r="I589" i="18"/>
  <c r="I590" i="18"/>
  <c r="I591" i="18"/>
  <c r="I592" i="18"/>
  <c r="I593" i="18"/>
  <c r="I594" i="18"/>
  <c r="I595" i="18"/>
  <c r="I596" i="18"/>
  <c r="I597" i="18"/>
  <c r="I598" i="18"/>
  <c r="I599" i="18"/>
  <c r="I600" i="18"/>
  <c r="I601" i="18"/>
  <c r="I602" i="18"/>
  <c r="I603" i="18"/>
  <c r="I604" i="18"/>
  <c r="I605" i="18"/>
  <c r="I606" i="18"/>
  <c r="I607" i="18"/>
  <c r="I608" i="18"/>
  <c r="I609" i="18"/>
  <c r="I610" i="18"/>
  <c r="I611" i="18"/>
  <c r="I612" i="18"/>
  <c r="I613" i="18"/>
  <c r="I614" i="18"/>
  <c r="I615" i="18"/>
  <c r="I616" i="18"/>
  <c r="I617" i="18"/>
  <c r="I618" i="18"/>
  <c r="I619" i="18"/>
  <c r="I620" i="18"/>
  <c r="I621" i="18"/>
  <c r="I622" i="18"/>
  <c r="I623" i="18"/>
  <c r="I624" i="18"/>
  <c r="I625" i="18"/>
  <c r="I626" i="18"/>
  <c r="I627" i="18"/>
  <c r="I628" i="18"/>
  <c r="I629" i="18"/>
  <c r="I630" i="18"/>
  <c r="I631" i="18"/>
  <c r="I632" i="18"/>
  <c r="I633" i="18"/>
  <c r="I634" i="18"/>
  <c r="I635" i="18"/>
  <c r="I636" i="18"/>
  <c r="I637" i="18"/>
  <c r="I638" i="18"/>
  <c r="I639" i="18"/>
  <c r="I640" i="18"/>
  <c r="I641" i="18"/>
  <c r="I642" i="18"/>
  <c r="I643" i="18"/>
  <c r="I644" i="18"/>
  <c r="I645" i="18"/>
  <c r="I646" i="18"/>
  <c r="I647" i="18"/>
  <c r="I648" i="18"/>
  <c r="I649" i="18"/>
  <c r="I650" i="18"/>
  <c r="I651" i="18"/>
  <c r="I652" i="18"/>
  <c r="I653" i="18"/>
  <c r="I654" i="18"/>
  <c r="I655" i="18"/>
  <c r="I656" i="18"/>
  <c r="I657" i="18"/>
  <c r="I658" i="18"/>
  <c r="I659" i="18"/>
  <c r="I660" i="18"/>
  <c r="I661" i="18"/>
  <c r="I662" i="18"/>
  <c r="I663" i="18"/>
  <c r="I664" i="18"/>
  <c r="I665" i="18"/>
  <c r="I666" i="18"/>
  <c r="I667" i="18"/>
  <c r="I668" i="18"/>
  <c r="I669" i="18"/>
  <c r="I670" i="18"/>
  <c r="I671" i="18"/>
  <c r="I672" i="18"/>
  <c r="I673" i="18"/>
  <c r="I674" i="18"/>
  <c r="I675" i="18"/>
  <c r="I676" i="18"/>
  <c r="I677" i="18"/>
  <c r="I678" i="18"/>
  <c r="I679" i="18"/>
  <c r="I681" i="18"/>
  <c r="I682" i="18"/>
  <c r="I683" i="18"/>
  <c r="I684" i="18"/>
  <c r="I685" i="18"/>
  <c r="I686" i="18"/>
  <c r="I687" i="18"/>
  <c r="I688" i="18"/>
  <c r="I689" i="18"/>
  <c r="I690" i="18"/>
  <c r="I691" i="18"/>
  <c r="I692" i="18"/>
  <c r="I693" i="18"/>
  <c r="I694" i="18"/>
  <c r="I695" i="18"/>
  <c r="I696" i="18"/>
  <c r="I697" i="18"/>
  <c r="I698" i="18"/>
  <c r="I699" i="18"/>
  <c r="I700" i="18"/>
  <c r="I701" i="18"/>
  <c r="I702" i="18"/>
  <c r="I703" i="18"/>
  <c r="I704" i="18"/>
  <c r="I705" i="18"/>
  <c r="I706" i="18"/>
  <c r="I707" i="18"/>
  <c r="I708" i="18"/>
  <c r="I709" i="18"/>
  <c r="I710" i="18"/>
  <c r="I711" i="18"/>
  <c r="I712" i="18"/>
  <c r="I713" i="18"/>
  <c r="I714" i="18"/>
  <c r="I715" i="18"/>
  <c r="I716" i="18"/>
  <c r="I717" i="18"/>
  <c r="I718" i="18"/>
  <c r="I719" i="18"/>
  <c r="I720" i="18"/>
  <c r="I721" i="18"/>
  <c r="I722" i="18"/>
  <c r="I723" i="18"/>
  <c r="I724" i="18"/>
  <c r="I725" i="18"/>
  <c r="I726" i="18"/>
  <c r="I727" i="18"/>
  <c r="I728" i="18"/>
  <c r="I729" i="18"/>
  <c r="I730" i="18"/>
  <c r="I731" i="18"/>
  <c r="I732" i="18"/>
  <c r="I733" i="18"/>
  <c r="I734" i="18"/>
  <c r="I735" i="18"/>
  <c r="I736" i="18"/>
  <c r="I737" i="18"/>
  <c r="I738" i="18"/>
  <c r="I739" i="18"/>
  <c r="I740" i="18"/>
  <c r="I741" i="18"/>
  <c r="I742" i="18"/>
  <c r="I743" i="18"/>
  <c r="I744" i="18"/>
  <c r="I745" i="18"/>
  <c r="I746" i="18"/>
  <c r="I747" i="18"/>
  <c r="I748" i="18"/>
  <c r="I749" i="18"/>
  <c r="I750" i="18"/>
  <c r="I751" i="18"/>
  <c r="I752" i="18"/>
  <c r="I753" i="18"/>
  <c r="I754" i="18"/>
  <c r="I755" i="18"/>
  <c r="I756" i="18"/>
  <c r="I757" i="18"/>
  <c r="I758" i="18"/>
  <c r="I759" i="18"/>
  <c r="I760" i="18"/>
  <c r="I761" i="18"/>
  <c r="I762" i="18"/>
  <c r="I763" i="18"/>
  <c r="I764" i="18"/>
  <c r="I765" i="18"/>
  <c r="I766" i="18"/>
  <c r="I767" i="18"/>
  <c r="I768" i="18"/>
  <c r="I769" i="18"/>
  <c r="I770" i="18"/>
  <c r="I771" i="18"/>
  <c r="I772" i="18"/>
  <c r="I773" i="18"/>
  <c r="I774" i="18"/>
  <c r="I775" i="18"/>
  <c r="I776" i="18"/>
  <c r="I777" i="18"/>
  <c r="I778" i="18"/>
  <c r="I779" i="18"/>
  <c r="I780" i="18"/>
  <c r="I781" i="18"/>
  <c r="I782" i="18"/>
  <c r="I783" i="18"/>
  <c r="I784" i="18"/>
  <c r="I785" i="18"/>
  <c r="I786" i="18"/>
  <c r="I787" i="18"/>
  <c r="I788" i="18"/>
  <c r="I789" i="18"/>
  <c r="I790" i="18"/>
  <c r="I791" i="18"/>
  <c r="I792" i="18"/>
  <c r="I793" i="18"/>
  <c r="I794" i="18"/>
  <c r="I795" i="18"/>
  <c r="I796" i="18"/>
  <c r="I797" i="18"/>
  <c r="I798" i="18"/>
  <c r="I799" i="18"/>
  <c r="I800" i="18"/>
  <c r="I801" i="18"/>
  <c r="I802" i="18"/>
  <c r="I803" i="18"/>
  <c r="I804" i="18"/>
  <c r="I805" i="18"/>
  <c r="I806" i="18"/>
  <c r="I807" i="18"/>
  <c r="I808" i="18"/>
  <c r="I809" i="18"/>
  <c r="I810" i="18"/>
  <c r="I811" i="18"/>
  <c r="I812" i="18"/>
  <c r="I813" i="18"/>
  <c r="I814" i="18"/>
  <c r="I815" i="18"/>
  <c r="I816" i="18"/>
  <c r="I817" i="18"/>
  <c r="I818" i="18"/>
  <c r="I819" i="18"/>
  <c r="I820" i="18"/>
  <c r="I821" i="18"/>
  <c r="I822" i="18"/>
  <c r="I823" i="18"/>
  <c r="I824" i="18"/>
  <c r="I825" i="18"/>
  <c r="I826" i="18"/>
  <c r="I827" i="18"/>
  <c r="I828" i="18"/>
  <c r="I829" i="18"/>
  <c r="I830" i="18"/>
  <c r="I831" i="18"/>
  <c r="I832" i="18"/>
  <c r="I833" i="18"/>
  <c r="I834" i="18"/>
  <c r="I835" i="18"/>
  <c r="I836" i="18"/>
  <c r="I837" i="18"/>
  <c r="I838" i="18"/>
  <c r="I839" i="18"/>
  <c r="I840" i="18"/>
  <c r="I841" i="18"/>
  <c r="I842" i="18"/>
  <c r="I843" i="18"/>
  <c r="I844" i="18"/>
  <c r="I845" i="18"/>
  <c r="I846" i="18"/>
  <c r="I847" i="18"/>
  <c r="I848" i="18"/>
  <c r="I849" i="18"/>
  <c r="I850" i="18"/>
  <c r="I851" i="18"/>
  <c r="I852" i="18"/>
  <c r="I853" i="18"/>
  <c r="I854" i="18"/>
  <c r="I855" i="18"/>
  <c r="I856" i="18"/>
  <c r="I857" i="18"/>
  <c r="I858" i="18"/>
  <c r="I859" i="18"/>
  <c r="I860" i="18"/>
  <c r="I861" i="18"/>
  <c r="I862" i="18"/>
  <c r="I863" i="18"/>
  <c r="I864" i="18"/>
  <c r="I865" i="18"/>
  <c r="I866" i="18"/>
  <c r="I867" i="18"/>
  <c r="I868" i="18"/>
  <c r="I869" i="18"/>
  <c r="I870" i="18"/>
  <c r="I871" i="18"/>
  <c r="I872" i="18"/>
  <c r="I873" i="18"/>
  <c r="I874" i="18"/>
  <c r="I875" i="18"/>
  <c r="I876" i="18"/>
  <c r="I877" i="18"/>
  <c r="I878" i="18"/>
  <c r="I879" i="18"/>
  <c r="I880" i="18"/>
  <c r="I881" i="18"/>
  <c r="I882" i="18"/>
  <c r="I883" i="18"/>
  <c r="I884" i="18"/>
  <c r="I885" i="18"/>
  <c r="I886" i="18"/>
  <c r="I887" i="18"/>
  <c r="I888" i="18"/>
  <c r="I889" i="18"/>
  <c r="I890" i="18"/>
  <c r="I891" i="18"/>
  <c r="I892" i="18"/>
  <c r="I893" i="18"/>
  <c r="I894" i="18"/>
  <c r="I895" i="18"/>
  <c r="I896" i="18"/>
  <c r="I897" i="18"/>
  <c r="I898" i="18"/>
  <c r="I899" i="18"/>
  <c r="I900" i="18"/>
  <c r="I901" i="18"/>
  <c r="I902" i="18"/>
  <c r="I903" i="18"/>
  <c r="I904" i="18"/>
  <c r="I905" i="18"/>
  <c r="I906" i="18"/>
  <c r="I907" i="18"/>
  <c r="I908" i="18"/>
  <c r="I909" i="18"/>
  <c r="I910" i="18"/>
  <c r="I911" i="18"/>
  <c r="I912" i="18"/>
  <c r="I913" i="18"/>
  <c r="I914" i="18"/>
  <c r="I915" i="18"/>
  <c r="I916" i="18"/>
  <c r="I917" i="18"/>
  <c r="I918" i="18"/>
  <c r="I919" i="18"/>
  <c r="I920" i="18"/>
  <c r="I921" i="18"/>
  <c r="I922" i="18"/>
  <c r="I923" i="18"/>
  <c r="I924" i="18"/>
  <c r="I925" i="18"/>
  <c r="I926" i="18"/>
  <c r="I927" i="18"/>
  <c r="I928" i="18"/>
  <c r="I929" i="18"/>
  <c r="I930" i="18"/>
  <c r="I931" i="18"/>
  <c r="I932" i="18"/>
  <c r="I933" i="18"/>
  <c r="I934" i="18"/>
  <c r="I935" i="18"/>
  <c r="I936" i="18"/>
  <c r="I937" i="18"/>
  <c r="I938" i="18"/>
  <c r="I939" i="18"/>
  <c r="I940" i="18"/>
  <c r="I941" i="18"/>
  <c r="I942" i="18"/>
  <c r="I943" i="18"/>
  <c r="I944" i="18"/>
  <c r="I945" i="18"/>
  <c r="I946" i="18"/>
  <c r="I947" i="18"/>
  <c r="I948" i="18"/>
  <c r="I949" i="18"/>
  <c r="I950" i="18"/>
  <c r="I951" i="18"/>
  <c r="I952" i="18"/>
  <c r="I953" i="18"/>
  <c r="I954" i="18"/>
  <c r="I955" i="18"/>
  <c r="I956" i="18"/>
  <c r="I957" i="18"/>
  <c r="I958" i="18"/>
  <c r="I959" i="18"/>
  <c r="I960" i="18"/>
  <c r="I961" i="18"/>
  <c r="I962" i="18"/>
  <c r="I963" i="18"/>
  <c r="I964" i="18"/>
  <c r="I965" i="18"/>
  <c r="I966" i="18"/>
  <c r="I967" i="18"/>
  <c r="I968" i="18"/>
  <c r="I969" i="18"/>
  <c r="I970" i="18"/>
  <c r="I971" i="18"/>
  <c r="I972" i="18"/>
  <c r="I973" i="18"/>
  <c r="I974" i="18"/>
  <c r="I975" i="18"/>
  <c r="I976" i="18"/>
  <c r="I977" i="18"/>
  <c r="I978" i="18"/>
  <c r="I979" i="18"/>
  <c r="I980" i="18"/>
  <c r="I981" i="18"/>
  <c r="I982" i="18"/>
  <c r="I983" i="18"/>
  <c r="I984" i="18"/>
  <c r="I985" i="18"/>
  <c r="I986" i="18"/>
  <c r="I987" i="18"/>
  <c r="I988" i="18"/>
  <c r="I989" i="18"/>
  <c r="I990" i="18"/>
  <c r="I991" i="18"/>
  <c r="I992" i="18"/>
  <c r="I993" i="18"/>
  <c r="I994" i="18"/>
  <c r="I995" i="18"/>
  <c r="I996" i="18"/>
  <c r="I997" i="18"/>
  <c r="I998" i="18"/>
  <c r="I999" i="18"/>
  <c r="I1000" i="18"/>
  <c r="I1001" i="18"/>
  <c r="I1002" i="18"/>
  <c r="I1003" i="18"/>
  <c r="I1004" i="18"/>
  <c r="I1005" i="18"/>
  <c r="I1006" i="18"/>
  <c r="I1007" i="18"/>
  <c r="I1008" i="18"/>
  <c r="I1009" i="18"/>
  <c r="I1010" i="18"/>
  <c r="I1011" i="18"/>
  <c r="I1012" i="18"/>
  <c r="I1013" i="18"/>
  <c r="I1014" i="18"/>
  <c r="I1015" i="18"/>
  <c r="I1016" i="18"/>
  <c r="I1017" i="18"/>
  <c r="I1018" i="18"/>
  <c r="I1019" i="18"/>
  <c r="I1020" i="18"/>
  <c r="I1021" i="18"/>
  <c r="I1022" i="18"/>
  <c r="I1023" i="18"/>
  <c r="I1024" i="18"/>
  <c r="I1025" i="18"/>
  <c r="I1026" i="18"/>
  <c r="I1027" i="18"/>
  <c r="I1028" i="18"/>
  <c r="I1029" i="18"/>
  <c r="I1030" i="18"/>
  <c r="I1031" i="18"/>
  <c r="I1032" i="18"/>
  <c r="I1033" i="18"/>
  <c r="I1034" i="18"/>
  <c r="I1035" i="18"/>
  <c r="I1036" i="18"/>
  <c r="I1037" i="18"/>
  <c r="I1038" i="18"/>
  <c r="I1039" i="18"/>
  <c r="I1040" i="18"/>
  <c r="I1041" i="18"/>
  <c r="I1042" i="18"/>
  <c r="I1043" i="18"/>
  <c r="I1044" i="18"/>
  <c r="I1045" i="18"/>
  <c r="D91" i="18"/>
  <c r="D92" i="18"/>
  <c r="D93" i="18"/>
  <c r="D94" i="18"/>
  <c r="D886" i="18"/>
  <c r="D903" i="18"/>
  <c r="D904" i="18"/>
  <c r="D905" i="18"/>
  <c r="H276" i="16"/>
  <c r="G276" i="16"/>
  <c r="F276" i="16"/>
  <c r="H238" i="16"/>
  <c r="G238" i="16"/>
  <c r="F238" i="16"/>
  <c r="G91" i="19"/>
  <c r="D970" i="18"/>
  <c r="D971" i="18"/>
  <c r="D972" i="18"/>
  <c r="D973" i="18"/>
  <c r="D650" i="18"/>
  <c r="J124" i="16"/>
  <c r="K124" i="16"/>
  <c r="L124" i="16"/>
  <c r="M124" i="16"/>
  <c r="N124" i="16"/>
  <c r="H126" i="16"/>
  <c r="H127" i="16"/>
  <c r="G126" i="16"/>
  <c r="G127" i="16"/>
  <c r="G125" i="16"/>
  <c r="H125" i="16"/>
  <c r="F126" i="16"/>
  <c r="F127" i="16"/>
  <c r="F125" i="16"/>
  <c r="D991" i="18"/>
  <c r="D990" i="18"/>
  <c r="D319" i="18"/>
  <c r="D313" i="18"/>
  <c r="D1031" i="18"/>
  <c r="L17" i="19"/>
  <c r="J17" i="19"/>
  <c r="H17" i="19"/>
  <c r="G16" i="19"/>
  <c r="F16" i="19"/>
  <c r="A9" i="19"/>
  <c r="H3" i="97"/>
  <c r="G3" i="97"/>
  <c r="F3" i="97"/>
  <c r="N4" i="16"/>
  <c r="M4" i="16"/>
  <c r="L4" i="16"/>
  <c r="K4" i="16"/>
  <c r="J4" i="16"/>
  <c r="I4" i="16"/>
  <c r="H4" i="16"/>
  <c r="G4" i="16"/>
  <c r="F4" i="16"/>
  <c r="A14" i="8"/>
  <c r="A15" i="8"/>
  <c r="D352" i="18"/>
  <c r="D333" i="18"/>
  <c r="H334" i="16"/>
  <c r="J334" i="16"/>
  <c r="K334" i="16"/>
  <c r="L334" i="16"/>
  <c r="M334" i="16"/>
  <c r="N334" i="16"/>
  <c r="J331" i="16"/>
  <c r="K331" i="16"/>
  <c r="L331" i="16"/>
  <c r="M331" i="16"/>
  <c r="N331" i="16"/>
  <c r="H332" i="16"/>
  <c r="H333" i="16"/>
  <c r="H335" i="16"/>
  <c r="H336" i="16"/>
  <c r="G332" i="16"/>
  <c r="G333" i="16"/>
  <c r="G335" i="16"/>
  <c r="G336" i="16"/>
  <c r="F332" i="16"/>
  <c r="F333" i="16"/>
  <c r="F335" i="16"/>
  <c r="F336" i="16"/>
  <c r="E46" i="97"/>
  <c r="I128" i="16" l="1"/>
  <c r="I85" i="16"/>
  <c r="I43" i="16"/>
  <c r="I140" i="16"/>
  <c r="I174" i="16"/>
  <c r="I21" i="16"/>
  <c r="I129" i="16"/>
  <c r="H331" i="16"/>
  <c r="H330" i="16" s="1"/>
  <c r="F124" i="16"/>
  <c r="L330" i="16"/>
  <c r="N330" i="16"/>
  <c r="M330" i="16"/>
  <c r="K330" i="16"/>
  <c r="H124" i="16"/>
  <c r="G124" i="16"/>
  <c r="J330" i="16"/>
  <c r="G331" i="16"/>
  <c r="F331" i="16"/>
  <c r="G334" i="16"/>
  <c r="F334" i="16"/>
  <c r="F37" i="97"/>
  <c r="G37" i="97"/>
  <c r="H37" i="97"/>
  <c r="I37" i="97"/>
  <c r="E37" i="97"/>
  <c r="F34" i="97"/>
  <c r="G34" i="97"/>
  <c r="H34" i="97"/>
  <c r="I34" i="97"/>
  <c r="D34" i="97"/>
  <c r="D35" i="97"/>
  <c r="D36" i="97"/>
  <c r="D37" i="97"/>
  <c r="D38" i="97"/>
  <c r="D39" i="97"/>
  <c r="F29" i="97"/>
  <c r="G29" i="97"/>
  <c r="H29" i="97"/>
  <c r="I29" i="97"/>
  <c r="E29" i="97"/>
  <c r="I26" i="97"/>
  <c r="D26" i="97"/>
  <c r="D27" i="97"/>
  <c r="D28" i="97"/>
  <c r="D29" i="97"/>
  <c r="D30" i="97"/>
  <c r="D31" i="97"/>
  <c r="G12" i="97"/>
  <c r="H12" i="97"/>
  <c r="I12" i="97"/>
  <c r="F12" i="97"/>
  <c r="I9" i="97"/>
  <c r="D14" i="97"/>
  <c r="D12" i="97"/>
  <c r="D13" i="97"/>
  <c r="D9" i="97"/>
  <c r="D885" i="18"/>
  <c r="I84" i="16" l="1"/>
  <c r="F330" i="16"/>
  <c r="G330" i="16"/>
  <c r="DG13" i="8" a="1"/>
  <c r="DG13" i="8" s="1"/>
  <c r="A26" i="8"/>
  <c r="D988" i="18" l="1"/>
  <c r="D898" i="18" l="1"/>
  <c r="H237" i="16" l="1"/>
  <c r="G237" i="16"/>
  <c r="F237" i="16"/>
  <c r="D968" i="18"/>
  <c r="H199" i="16" l="1"/>
  <c r="H200" i="16"/>
  <c r="G199" i="16"/>
  <c r="G200" i="16"/>
  <c r="F199" i="16"/>
  <c r="F200" i="16"/>
  <c r="D870" i="18" l="1"/>
  <c r="H235" i="16"/>
  <c r="H236" i="16"/>
  <c r="G235" i="16"/>
  <c r="G236" i="16"/>
  <c r="F235" i="16"/>
  <c r="F236" i="16"/>
  <c r="D923" i="18"/>
  <c r="D867" i="18" l="1"/>
  <c r="D868" i="18"/>
  <c r="D869" i="18"/>
  <c r="D1011" i="18"/>
  <c r="D1012" i="18"/>
  <c r="D671" i="18" l="1"/>
  <c r="D672" i="18"/>
  <c r="D673" i="18"/>
  <c r="D674" i="18"/>
  <c r="D675" i="18"/>
  <c r="D864" i="18"/>
  <c r="D865" i="18"/>
  <c r="D866" i="18"/>
  <c r="D582" i="18"/>
  <c r="D583" i="18"/>
  <c r="D584" i="18"/>
  <c r="D546" i="18"/>
  <c r="D547" i="18"/>
  <c r="D548" i="18"/>
  <c r="D482" i="18"/>
  <c r="D483" i="18"/>
  <c r="D484" i="18"/>
  <c r="D515" i="18" l="1"/>
  <c r="D78" i="18" l="1"/>
  <c r="D79" i="18"/>
  <c r="D80" i="18"/>
  <c r="D81" i="18"/>
  <c r="H59" i="16" l="1"/>
  <c r="G59" i="16"/>
  <c r="F59" i="16"/>
  <c r="N44" i="16"/>
  <c r="M44" i="16"/>
  <c r="L44" i="16"/>
  <c r="K44" i="16"/>
  <c r="J44" i="16"/>
  <c r="D967" i="18"/>
  <c r="D969" i="18"/>
  <c r="D636" i="18" l="1"/>
  <c r="D1020" i="18" l="1"/>
  <c r="D1021" i="18"/>
  <c r="D203" i="18" l="1"/>
  <c r="D204" i="18"/>
  <c r="D205" i="18"/>
  <c r="D202" i="18"/>
  <c r="D206" i="18"/>
  <c r="D207" i="18"/>
  <c r="D208" i="18"/>
  <c r="D713" i="18" l="1"/>
  <c r="D189" i="18"/>
  <c r="D29" i="18" l="1"/>
  <c r="D30" i="18"/>
  <c r="D31" i="18"/>
  <c r="D32" i="18"/>
  <c r="H204" i="16" l="1"/>
  <c r="G204" i="16"/>
  <c r="F204" i="16"/>
  <c r="H329" i="16"/>
  <c r="G329" i="16"/>
  <c r="F329" i="16"/>
  <c r="H323" i="16"/>
  <c r="H324" i="16"/>
  <c r="G323" i="16"/>
  <c r="G324" i="16"/>
  <c r="F323" i="16"/>
  <c r="F324" i="16"/>
  <c r="J319" i="16"/>
  <c r="L319" i="16"/>
  <c r="M319" i="16"/>
  <c r="N319" i="16"/>
  <c r="D358" i="18"/>
  <c r="D359" i="18"/>
  <c r="D357" i="18"/>
  <c r="H61" i="16" l="1"/>
  <c r="G61" i="16"/>
  <c r="F61" i="16"/>
  <c r="O62" i="16"/>
  <c r="D89" i="18"/>
  <c r="D90" i="18"/>
  <c r="D978" i="18" l="1"/>
  <c r="D979" i="18"/>
  <c r="D980" i="18"/>
  <c r="D981" i="18"/>
  <c r="D927" i="18"/>
  <c r="D900" i="18"/>
  <c r="D896" i="18"/>
  <c r="D897" i="18"/>
  <c r="D899" i="18"/>
  <c r="D1040" i="18"/>
  <c r="D1025" i="18" l="1"/>
  <c r="D356" i="18" l="1"/>
  <c r="D1045" i="18" l="1"/>
  <c r="D1044" i="18"/>
  <c r="D1043" i="18"/>
  <c r="D921" i="18" l="1"/>
  <c r="D951" i="18" l="1"/>
  <c r="D895" i="18" l="1"/>
  <c r="D1032" i="18" l="1"/>
  <c r="D1033" i="18"/>
  <c r="D1034" i="18"/>
  <c r="D1035" i="18"/>
  <c r="D1036" i="18"/>
  <c r="D982" i="18" l="1"/>
  <c r="D983" i="18"/>
  <c r="D984" i="18"/>
  <c r="D985" i="18"/>
  <c r="D977" i="18"/>
  <c r="D986" i="18"/>
  <c r="D1038" i="18" l="1"/>
  <c r="D1037" i="18"/>
  <c r="D1015" i="18" l="1"/>
  <c r="D1016" i="18"/>
  <c r="D1017" i="18"/>
  <c r="D1018" i="18"/>
  <c r="D1019" i="18"/>
  <c r="D1000" i="18"/>
  <c r="D1001" i="18"/>
  <c r="D1002" i="18"/>
  <c r="D1003" i="18"/>
  <c r="D1004" i="18"/>
  <c r="D1010" i="18"/>
  <c r="H305" i="16" l="1"/>
  <c r="G305" i="16"/>
  <c r="F305" i="16"/>
  <c r="H275" i="16"/>
  <c r="G275" i="16"/>
  <c r="F275" i="16"/>
  <c r="D960" i="18"/>
  <c r="D947" i="18"/>
  <c r="H303" i="16" l="1"/>
  <c r="H304" i="16"/>
  <c r="G303" i="16"/>
  <c r="G304" i="16"/>
  <c r="F303" i="16"/>
  <c r="F304" i="16"/>
  <c r="H273" i="16" l="1"/>
  <c r="H274" i="16"/>
  <c r="G273" i="16"/>
  <c r="G274" i="16"/>
  <c r="F273" i="16"/>
  <c r="F274" i="16"/>
  <c r="H268" i="16"/>
  <c r="G268" i="16"/>
  <c r="F268" i="16"/>
  <c r="H245" i="16"/>
  <c r="G245" i="16"/>
  <c r="F245" i="16"/>
  <c r="H234" i="16"/>
  <c r="G234" i="16"/>
  <c r="F234" i="16"/>
  <c r="H58" i="16"/>
  <c r="G58" i="16"/>
  <c r="F58" i="16"/>
  <c r="D962" i="18"/>
  <c r="D963" i="18"/>
  <c r="D964" i="18"/>
  <c r="D965" i="18"/>
  <c r="D966" i="18"/>
  <c r="H232" i="16"/>
  <c r="H233" i="16"/>
  <c r="G232" i="16"/>
  <c r="G233" i="16"/>
  <c r="F232" i="16"/>
  <c r="F233" i="16"/>
  <c r="H316" i="16"/>
  <c r="G316" i="16"/>
  <c r="F316" i="16"/>
  <c r="H266" i="16"/>
  <c r="H267" i="16"/>
  <c r="G266" i="16"/>
  <c r="G267" i="16"/>
  <c r="F266" i="16"/>
  <c r="F267" i="16"/>
  <c r="H243" i="16"/>
  <c r="H244" i="16"/>
  <c r="G243" i="16"/>
  <c r="G244" i="16"/>
  <c r="F243" i="16"/>
  <c r="F244" i="16"/>
  <c r="H242" i="16"/>
  <c r="G242" i="16"/>
  <c r="F242" i="16"/>
  <c r="H55" i="16"/>
  <c r="H56" i="16"/>
  <c r="H57" i="16"/>
  <c r="G55" i="16"/>
  <c r="G56" i="16"/>
  <c r="G57" i="16"/>
  <c r="F55" i="16"/>
  <c r="F56" i="16"/>
  <c r="F57" i="16"/>
  <c r="D961" i="18"/>
  <c r="D959" i="18"/>
  <c r="D958" i="18"/>
  <c r="D957" i="18"/>
  <c r="D955" i="18"/>
  <c r="D954" i="18"/>
  <c r="D953" i="18"/>
  <c r="D952" i="18"/>
  <c r="D949" i="18"/>
  <c r="D948" i="18"/>
  <c r="D946" i="18"/>
  <c r="D945" i="18"/>
  <c r="D944" i="18"/>
  <c r="D950" i="18"/>
  <c r="D956" i="18"/>
  <c r="D943" i="18"/>
  <c r="D1014" i="18" l="1"/>
  <c r="D1013" i="18"/>
  <c r="D976" i="18" l="1"/>
  <c r="D975" i="18"/>
  <c r="D974" i="18"/>
  <c r="H207" i="16"/>
  <c r="G207" i="16"/>
  <c r="F207" i="16"/>
  <c r="D616" i="18"/>
  <c r="D637" i="18"/>
  <c r="H302" i="16" l="1"/>
  <c r="G302" i="16"/>
  <c r="F302" i="16"/>
  <c r="H231" i="16"/>
  <c r="G231" i="16"/>
  <c r="F231" i="16"/>
  <c r="D930" i="18"/>
  <c r="D926" i="18"/>
  <c r="D928" i="18"/>
  <c r="D929" i="18"/>
  <c r="D989" i="18" l="1"/>
  <c r="D987" i="18"/>
  <c r="D998" i="18" l="1"/>
  <c r="D999" i="18"/>
  <c r="D1005" i="18"/>
  <c r="D1006" i="18"/>
  <c r="D1030" i="18"/>
  <c r="D1028" i="18"/>
  <c r="D1029" i="18"/>
  <c r="D588" i="18" l="1"/>
  <c r="D589" i="18"/>
  <c r="D590" i="18"/>
  <c r="D591" i="18"/>
  <c r="D1039" i="18" l="1"/>
  <c r="D1041" i="18"/>
  <c r="I4" i="18" l="1"/>
  <c r="D1009" i="18"/>
  <c r="J40" i="16" l="1"/>
  <c r="K40" i="16"/>
  <c r="L40" i="16"/>
  <c r="M40" i="16"/>
  <c r="N40" i="16"/>
  <c r="D375" i="18" l="1"/>
  <c r="D374" i="18"/>
  <c r="D376" i="18"/>
  <c r="O108" i="16" l="1"/>
  <c r="H108" i="16"/>
  <c r="G108" i="16"/>
  <c r="F108" i="16"/>
  <c r="N100" i="16"/>
  <c r="M100" i="16"/>
  <c r="L100" i="16"/>
  <c r="K100" i="16"/>
  <c r="J100" i="16"/>
  <c r="A1045" i="18" l="1"/>
  <c r="P5" i="16" s="1"/>
  <c r="D940" i="18" l="1"/>
  <c r="D939" i="18" l="1"/>
  <c r="D941" i="18"/>
  <c r="D942" i="18"/>
  <c r="G339" i="16" l="1"/>
  <c r="H339" i="16"/>
  <c r="H338" i="16" s="1"/>
  <c r="F339" i="16"/>
  <c r="F338" i="16" s="1"/>
  <c r="G338" i="16"/>
  <c r="J338" i="16"/>
  <c r="K338" i="16"/>
  <c r="L338" i="16"/>
  <c r="M338" i="16"/>
  <c r="N338" i="16"/>
  <c r="O339" i="16"/>
  <c r="D128" i="18"/>
  <c r="J341" i="16" l="1"/>
  <c r="K341" i="16"/>
  <c r="L341" i="16"/>
  <c r="M341" i="16"/>
  <c r="N341" i="16"/>
  <c r="G342" i="16"/>
  <c r="G341" i="16" s="1"/>
  <c r="H342" i="16"/>
  <c r="H341" i="16" s="1"/>
  <c r="F342" i="16"/>
  <c r="F341" i="16" s="1"/>
  <c r="O342" i="16"/>
  <c r="D855" i="18" l="1"/>
  <c r="D593" i="18"/>
  <c r="D938" i="18" l="1"/>
  <c r="D937" i="18"/>
  <c r="D936" i="18"/>
  <c r="D709" i="18" l="1"/>
  <c r="D773" i="18"/>
  <c r="D743" i="18"/>
  <c r="D808" i="18"/>
  <c r="D911" i="18" l="1"/>
  <c r="D572" i="18"/>
  <c r="D512" i="18"/>
  <c r="J344" i="16"/>
  <c r="K344" i="16"/>
  <c r="L344" i="16"/>
  <c r="M344" i="16"/>
  <c r="N344" i="16"/>
  <c r="D454" i="18"/>
  <c r="D455" i="18"/>
  <c r="D435" i="18"/>
  <c r="D1008" i="18" l="1"/>
  <c r="D1007" i="18"/>
  <c r="H197" i="16" l="1"/>
  <c r="G197" i="16"/>
  <c r="F197" i="16"/>
  <c r="O197" i="16" l="1"/>
  <c r="D592" i="18" l="1"/>
  <c r="D924" i="18" l="1"/>
  <c r="D915" i="18" l="1"/>
  <c r="D917" i="18" l="1"/>
  <c r="D918" i="18"/>
  <c r="D912" i="18"/>
  <c r="D909" i="18"/>
  <c r="D910" i="18"/>
  <c r="D892" i="18"/>
  <c r="D893" i="18"/>
  <c r="D894" i="18"/>
  <c r="D935" i="18"/>
  <c r="D933" i="18"/>
  <c r="D934" i="18"/>
  <c r="D889" i="18" l="1"/>
  <c r="D890" i="18"/>
  <c r="D891" i="18"/>
  <c r="D901" i="18"/>
  <c r="D902" i="18"/>
  <c r="D888" i="18"/>
  <c r="D906" i="18"/>
  <c r="D727" i="18" l="1"/>
  <c r="H198" i="16" l="1"/>
  <c r="G198" i="16"/>
  <c r="F198" i="16"/>
  <c r="D792" i="18"/>
  <c r="J6" i="16" l="1"/>
  <c r="K6" i="16"/>
  <c r="L6" i="16"/>
  <c r="M6" i="16"/>
  <c r="N6" i="16"/>
  <c r="I6" i="16"/>
  <c r="I19" i="16" s="1"/>
  <c r="DF22" i="8" l="1"/>
  <c r="DF23" i="8" s="1"/>
  <c r="DF24" i="8" s="1"/>
  <c r="DF25" i="8" s="1"/>
  <c r="DF26" i="8" s="1"/>
  <c r="DF27" i="8" s="1"/>
  <c r="DF28" i="8" s="1"/>
  <c r="DF29" i="8" s="1"/>
  <c r="DF30" i="8" s="1"/>
  <c r="DF31" i="8" s="1"/>
  <c r="DF32" i="8" s="1"/>
  <c r="DF33" i="8" s="1"/>
  <c r="DF34" i="8" s="1"/>
  <c r="DF35" i="8" s="1"/>
  <c r="DF36" i="8" s="1"/>
  <c r="DF37" i="8" s="1"/>
  <c r="DF38" i="8" s="1"/>
  <c r="DF39" i="8" s="1"/>
  <c r="DF40" i="8" s="1"/>
  <c r="DF41" i="8" s="1"/>
  <c r="DF42" i="8" s="1"/>
  <c r="DF43" i="8" s="1"/>
  <c r="DF44" i="8" s="1"/>
  <c r="DF45" i="8" s="1"/>
  <c r="DF46" i="8" s="1"/>
  <c r="DF47" i="8" s="1"/>
  <c r="DF48" i="8" s="1"/>
  <c r="DF49" i="8" s="1"/>
  <c r="DF50" i="8" s="1"/>
  <c r="DF51" i="8" s="1"/>
  <c r="DF52" i="8" s="1"/>
  <c r="DF53" i="8" s="1"/>
  <c r="DF54" i="8" s="1"/>
  <c r="CO22" i="8"/>
  <c r="R22" i="8"/>
  <c r="EN7" i="8"/>
  <c r="DV7" i="8"/>
  <c r="DP7" i="8"/>
  <c r="D17" i="97"/>
  <c r="D18" i="97"/>
  <c r="D19" i="97"/>
  <c r="D20" i="97"/>
  <c r="D21" i="97"/>
  <c r="D22" i="97"/>
  <c r="D23" i="97"/>
  <c r="D24" i="97"/>
  <c r="D25" i="97"/>
  <c r="D32" i="97"/>
  <c r="D33" i="97"/>
  <c r="D40" i="97"/>
  <c r="D16" i="97"/>
  <c r="D6" i="97"/>
  <c r="D8" i="97"/>
  <c r="D10" i="97"/>
  <c r="D11" i="97"/>
  <c r="D15" i="97"/>
  <c r="D7" i="97"/>
  <c r="D5" i="97"/>
  <c r="A8" i="19"/>
  <c r="L96" i="19"/>
  <c r="C52" i="97"/>
  <c r="G52" i="97"/>
  <c r="A351" i="16"/>
  <c r="J351" i="16"/>
  <c r="E52" i="97" s="1"/>
  <c r="J96" i="19" l="1"/>
  <c r="D922" i="18"/>
  <c r="D913" i="18" l="1"/>
  <c r="D914" i="18"/>
  <c r="D916" i="18"/>
  <c r="D919" i="18"/>
  <c r="D920" i="18"/>
  <c r="D925" i="18"/>
  <c r="D931" i="18"/>
  <c r="D932" i="18"/>
  <c r="D907" i="18"/>
  <c r="D908" i="18"/>
  <c r="D992" i="18"/>
  <c r="F44" i="97" l="1"/>
  <c r="G43" i="97" l="1"/>
  <c r="H43" i="97"/>
  <c r="I43" i="97"/>
  <c r="F43" i="97"/>
  <c r="F20" i="97"/>
  <c r="G20" i="97"/>
  <c r="H20" i="97"/>
  <c r="I20" i="97"/>
  <c r="E20" i="97"/>
  <c r="D993" i="18" l="1"/>
  <c r="D994" i="18"/>
  <c r="D995" i="18"/>
  <c r="D996" i="18"/>
  <c r="D997" i="18"/>
  <c r="D1022" i="18" l="1"/>
  <c r="D1024" i="18"/>
  <c r="D1026" i="18"/>
  <c r="D1027" i="18"/>
  <c r="D1023" i="18"/>
  <c r="J86" i="16" l="1"/>
  <c r="K86" i="16"/>
  <c r="L86" i="16"/>
  <c r="M86" i="16"/>
  <c r="N86" i="16"/>
  <c r="H99" i="16"/>
  <c r="G99" i="16"/>
  <c r="F99" i="16"/>
  <c r="D827" i="18"/>
  <c r="CO20" i="8" l="1"/>
  <c r="P19" i="8"/>
  <c r="H348" i="16" l="1"/>
  <c r="L348" i="16"/>
  <c r="H93" i="19"/>
  <c r="L93" i="19"/>
  <c r="H5" i="19"/>
  <c r="O320" i="16" l="1"/>
  <c r="O325" i="16" l="1"/>
  <c r="J167" i="16"/>
  <c r="K167" i="16"/>
  <c r="L167" i="16"/>
  <c r="M167" i="16"/>
  <c r="N167" i="16"/>
  <c r="O172" i="16"/>
  <c r="O170" i="16"/>
  <c r="O168" i="16"/>
  <c r="J177" i="16"/>
  <c r="K177" i="16"/>
  <c r="L177" i="16"/>
  <c r="M177" i="16"/>
  <c r="N177" i="16"/>
  <c r="O185" i="16"/>
  <c r="O183" i="16"/>
  <c r="O181" i="16"/>
  <c r="O178" i="16"/>
  <c r="O310" i="16"/>
  <c r="O306" i="16"/>
  <c r="O293" i="16"/>
  <c r="O288" i="16"/>
  <c r="O284" i="16"/>
  <c r="O277" i="16"/>
  <c r="O269" i="16"/>
  <c r="O262" i="16"/>
  <c r="O249" i="16"/>
  <c r="O246" i="16"/>
  <c r="O239" i="16"/>
  <c r="O220" i="16"/>
  <c r="O210" i="16"/>
  <c r="O208" i="16"/>
  <c r="O205" i="16"/>
  <c r="O201" i="16"/>
  <c r="O191" i="16"/>
  <c r="O188" i="16"/>
  <c r="J149" i="16"/>
  <c r="K149" i="16"/>
  <c r="L149" i="16"/>
  <c r="M149" i="16"/>
  <c r="N149" i="16"/>
  <c r="O156" i="16"/>
  <c r="O154" i="16"/>
  <c r="O151" i="16"/>
  <c r="O106" i="16"/>
  <c r="O104" i="16"/>
  <c r="O97" i="16"/>
  <c r="A885" i="18" l="1"/>
  <c r="O61" i="16"/>
  <c r="O38" i="16"/>
  <c r="H38" i="16"/>
  <c r="G38" i="16"/>
  <c r="F38" i="16"/>
  <c r="A421" i="18" l="1"/>
  <c r="J26" i="16"/>
  <c r="J25" i="16" s="1"/>
  <c r="K26" i="16"/>
  <c r="K25" i="16" s="1"/>
  <c r="L26" i="16"/>
  <c r="L25" i="16" s="1"/>
  <c r="M26" i="16"/>
  <c r="M25" i="16" s="1"/>
  <c r="N26" i="16"/>
  <c r="N25" i="16" s="1"/>
  <c r="O39" i="16"/>
  <c r="D655" i="18" l="1"/>
  <c r="D683" i="18"/>
  <c r="B13" i="19" l="1"/>
  <c r="B10" i="19"/>
  <c r="L5" i="19" l="1"/>
  <c r="I2" i="19"/>
  <c r="I3" i="19"/>
  <c r="M13" i="19"/>
  <c r="CO19" i="8"/>
  <c r="M14" i="19" l="1"/>
  <c r="M12" i="19"/>
  <c r="M11" i="19"/>
  <c r="CO18" i="8"/>
  <c r="CO17" i="8"/>
  <c r="P17" i="8"/>
  <c r="DE4" i="8"/>
  <c r="E3" i="8" s="1"/>
  <c r="N18" i="19"/>
  <c r="J63" i="16" l="1"/>
  <c r="J43" i="16" s="1"/>
  <c r="K63" i="16"/>
  <c r="K43" i="16" s="1"/>
  <c r="L63" i="16"/>
  <c r="L43" i="16" s="1"/>
  <c r="M63" i="16"/>
  <c r="M43" i="16" s="1"/>
  <c r="N63" i="16"/>
  <c r="N43" i="16" s="1"/>
  <c r="J337" i="16" l="1"/>
  <c r="K337" i="16"/>
  <c r="L337" i="16"/>
  <c r="M337" i="16"/>
  <c r="N337" i="16"/>
  <c r="N166" i="16"/>
  <c r="G159" i="16"/>
  <c r="H159" i="16"/>
  <c r="J159" i="16"/>
  <c r="K159" i="16"/>
  <c r="L159" i="16"/>
  <c r="M159" i="16"/>
  <c r="N159" i="16"/>
  <c r="F159" i="16"/>
  <c r="J22" i="16"/>
  <c r="K22" i="16"/>
  <c r="L22" i="16"/>
  <c r="M22" i="16"/>
  <c r="N22" i="16"/>
  <c r="J68" i="16"/>
  <c r="K68" i="16"/>
  <c r="L68" i="16"/>
  <c r="M68" i="16"/>
  <c r="N68" i="16"/>
  <c r="G39" i="16"/>
  <c r="H39" i="16"/>
  <c r="F39" i="16"/>
  <c r="A4" i="18" l="1"/>
  <c r="O4" i="16" l="1"/>
  <c r="G69" i="16"/>
  <c r="H69" i="16"/>
  <c r="G70" i="16"/>
  <c r="H70" i="16"/>
  <c r="F70" i="16"/>
  <c r="F69" i="16"/>
  <c r="G64" i="16"/>
  <c r="H64" i="16"/>
  <c r="G65" i="16"/>
  <c r="H65" i="16"/>
  <c r="G66" i="16"/>
  <c r="H66" i="16"/>
  <c r="G67" i="16"/>
  <c r="H67" i="16"/>
  <c r="F65" i="16"/>
  <c r="F66" i="16"/>
  <c r="F67" i="16"/>
  <c r="F64" i="16"/>
  <c r="G45" i="16"/>
  <c r="H45" i="16"/>
  <c r="G46" i="16"/>
  <c r="H46" i="16"/>
  <c r="G47" i="16"/>
  <c r="H47" i="16"/>
  <c r="G48" i="16"/>
  <c r="H48" i="16"/>
  <c r="G49" i="16"/>
  <c r="H49" i="16"/>
  <c r="G50" i="16"/>
  <c r="H50" i="16"/>
  <c r="G51" i="16"/>
  <c r="H51" i="16"/>
  <c r="G52" i="16"/>
  <c r="H52" i="16"/>
  <c r="G53" i="16"/>
  <c r="H53" i="16"/>
  <c r="G54" i="16"/>
  <c r="H54" i="16"/>
  <c r="F46" i="16"/>
  <c r="F47" i="16"/>
  <c r="F48" i="16"/>
  <c r="F49" i="16"/>
  <c r="F50" i="16"/>
  <c r="F51" i="16"/>
  <c r="F52" i="16"/>
  <c r="F53" i="16"/>
  <c r="F54" i="16"/>
  <c r="F45" i="16"/>
  <c r="G60" i="16"/>
  <c r="H60" i="16"/>
  <c r="F60" i="16"/>
  <c r="O43" i="16"/>
  <c r="O63" i="16"/>
  <c r="F44" i="16" l="1"/>
  <c r="G44" i="16"/>
  <c r="H44" i="16"/>
  <c r="G68" i="16"/>
  <c r="G63" i="16"/>
  <c r="H68" i="16"/>
  <c r="H63" i="16"/>
  <c r="F63" i="16"/>
  <c r="F68" i="16"/>
  <c r="F43" i="16" l="1"/>
  <c r="G43" i="16"/>
  <c r="H43" i="16"/>
  <c r="H325" i="16"/>
  <c r="H326" i="16"/>
  <c r="H327" i="16"/>
  <c r="H328" i="16"/>
  <c r="H320" i="16"/>
  <c r="H321" i="16"/>
  <c r="H322" i="16"/>
  <c r="G325" i="16"/>
  <c r="G326" i="16"/>
  <c r="G327" i="16"/>
  <c r="G328" i="16"/>
  <c r="G320" i="16"/>
  <c r="G321" i="16"/>
  <c r="G322" i="16"/>
  <c r="F325" i="16"/>
  <c r="F326" i="16"/>
  <c r="F327" i="16"/>
  <c r="F328" i="16"/>
  <c r="F320" i="16"/>
  <c r="F321" i="16"/>
  <c r="F322" i="16"/>
  <c r="G319" i="16" l="1"/>
  <c r="F319" i="16"/>
  <c r="H319" i="16"/>
  <c r="A888" i="18"/>
  <c r="O5" i="16" s="1"/>
  <c r="D1042" i="18" l="1"/>
  <c r="DF55" i="8" l="1"/>
  <c r="AJ24" i="8" l="1"/>
  <c r="G41" i="97" l="1"/>
  <c r="H41" i="97"/>
  <c r="I41" i="97"/>
  <c r="F41" i="97"/>
  <c r="J16" i="97"/>
  <c r="G74" i="96"/>
  <c r="J21" i="97" l="1"/>
  <c r="J11" i="97"/>
  <c r="J1" i="97"/>
  <c r="G42" i="97" l="1"/>
  <c r="H42" i="97"/>
  <c r="I42" i="97"/>
  <c r="G44" i="97"/>
  <c r="H44" i="97"/>
  <c r="I44" i="97"/>
  <c r="F42" i="97"/>
  <c r="G32" i="97"/>
  <c r="H32" i="97"/>
  <c r="I32" i="97"/>
  <c r="F32" i="97"/>
  <c r="G17" i="97"/>
  <c r="H17" i="97"/>
  <c r="I17" i="97"/>
  <c r="F17" i="97"/>
  <c r="G7" i="97"/>
  <c r="H7" i="97"/>
  <c r="I7" i="97"/>
  <c r="F7" i="97"/>
  <c r="I16" i="97" l="1"/>
  <c r="I4" i="97" s="1"/>
  <c r="H16" i="97"/>
  <c r="H4" i="97" s="1"/>
  <c r="G16" i="97"/>
  <c r="G4" i="97" s="1"/>
  <c r="F16" i="97"/>
  <c r="F4" i="97" s="1"/>
  <c r="G49" i="97"/>
  <c r="D50" i="97"/>
  <c r="G46" i="97"/>
  <c r="E49" i="97"/>
  <c r="D47" i="97"/>
  <c r="D69" i="96" l="1"/>
  <c r="D57" i="96"/>
  <c r="D42" i="96"/>
  <c r="H301" i="16" l="1"/>
  <c r="G301" i="16"/>
  <c r="F301" i="16"/>
  <c r="G36" i="16" l="1"/>
  <c r="H36" i="16"/>
  <c r="G37" i="16"/>
  <c r="H37" i="16"/>
  <c r="F37" i="16"/>
  <c r="D682" i="18"/>
  <c r="D681" i="18"/>
  <c r="D307" i="18" l="1"/>
  <c r="L109" i="16" l="1"/>
  <c r="L113" i="16"/>
  <c r="L130" i="16"/>
  <c r="L129" i="16" s="1"/>
  <c r="L134" i="16"/>
  <c r="L136" i="16"/>
  <c r="L138" i="16"/>
  <c r="L141" i="16"/>
  <c r="L145" i="16"/>
  <c r="L175" i="16"/>
  <c r="L174" i="16" s="1"/>
  <c r="J21" i="16"/>
  <c r="K21" i="16"/>
  <c r="L21" i="16"/>
  <c r="M21" i="16"/>
  <c r="N21" i="16"/>
  <c r="O76" i="16"/>
  <c r="F77" i="16"/>
  <c r="D822" i="18"/>
  <c r="D821" i="18"/>
  <c r="F76" i="16" l="1"/>
  <c r="L166" i="16"/>
  <c r="L140" i="16"/>
  <c r="L128" i="16"/>
  <c r="L112" i="16"/>
  <c r="F75" i="16" l="1"/>
  <c r="L85" i="16"/>
  <c r="L84" i="16" s="1"/>
  <c r="G183" i="16"/>
  <c r="H183" i="16"/>
  <c r="G184" i="16"/>
  <c r="H184" i="16"/>
  <c r="F184" i="16"/>
  <c r="F183" i="16"/>
  <c r="D734" i="18" l="1"/>
  <c r="D221" i="18"/>
  <c r="F247" i="16" l="1"/>
  <c r="G247" i="16"/>
  <c r="H247" i="16"/>
  <c r="F248" i="16"/>
  <c r="G248" i="16"/>
  <c r="H248" i="16"/>
  <c r="G246" i="16"/>
  <c r="H246" i="16"/>
  <c r="F246" i="16"/>
  <c r="D537" i="18"/>
  <c r="D148" i="18" l="1"/>
  <c r="G185" i="16" l="1"/>
  <c r="H185" i="16"/>
  <c r="G186" i="16"/>
  <c r="H186" i="16"/>
  <c r="F185" i="16"/>
  <c r="F186" i="16"/>
  <c r="D859" i="18" l="1"/>
  <c r="H179" i="16" l="1"/>
  <c r="H180" i="16"/>
  <c r="G179" i="16"/>
  <c r="G180" i="16"/>
  <c r="F179" i="16"/>
  <c r="F180" i="16"/>
  <c r="D431" i="18" l="1"/>
  <c r="D432" i="18"/>
  <c r="D391" i="18" l="1"/>
  <c r="J343" i="16" l="1"/>
  <c r="K343" i="16"/>
  <c r="M343" i="16"/>
  <c r="N343" i="16"/>
  <c r="G345" i="16"/>
  <c r="H345" i="16"/>
  <c r="G346" i="16"/>
  <c r="H346" i="16"/>
  <c r="O344" i="16"/>
  <c r="H344" i="16" l="1"/>
  <c r="G344" i="16"/>
  <c r="H315" i="16" l="1"/>
  <c r="G315" i="16"/>
  <c r="F315" i="16"/>
  <c r="H314" i="16" l="1"/>
  <c r="G314" i="16"/>
  <c r="F314" i="16"/>
  <c r="D318" i="18" l="1"/>
  <c r="D306" i="18"/>
  <c r="D428" i="18" l="1"/>
  <c r="D275" i="18" l="1"/>
  <c r="D276" i="18"/>
  <c r="O158" i="16" l="1"/>
  <c r="G158" i="16"/>
  <c r="H158" i="16"/>
  <c r="F158" i="16"/>
  <c r="D464" i="18"/>
  <c r="H182" i="16" l="1"/>
  <c r="G182" i="16"/>
  <c r="F182" i="16"/>
  <c r="D122" i="18" l="1"/>
  <c r="D123" i="18"/>
  <c r="G150" i="16" l="1"/>
  <c r="H150" i="16"/>
  <c r="F150" i="16"/>
  <c r="O150" i="16" l="1"/>
  <c r="D825" i="18" l="1"/>
  <c r="D826" i="18"/>
  <c r="D828" i="18"/>
  <c r="D679" i="18" l="1"/>
  <c r="G343" i="16" l="1"/>
  <c r="H343" i="16"/>
  <c r="G340" i="16"/>
  <c r="G337" i="16" s="1"/>
  <c r="H340" i="16"/>
  <c r="H337" i="16" s="1"/>
  <c r="F340" i="16"/>
  <c r="F337" i="16" s="1"/>
  <c r="G310" i="16"/>
  <c r="H310" i="16"/>
  <c r="G311" i="16"/>
  <c r="H311" i="16"/>
  <c r="G312" i="16"/>
  <c r="H312" i="16"/>
  <c r="G313" i="16"/>
  <c r="H313" i="16"/>
  <c r="F311" i="16"/>
  <c r="F312" i="16"/>
  <c r="F313" i="16"/>
  <c r="F310" i="16"/>
  <c r="G306" i="16"/>
  <c r="H306" i="16"/>
  <c r="G307" i="16"/>
  <c r="H307" i="16"/>
  <c r="G308" i="16"/>
  <c r="H308" i="16"/>
  <c r="G309" i="16"/>
  <c r="H309" i="16"/>
  <c r="F307" i="16"/>
  <c r="F308" i="16"/>
  <c r="F309" i="16"/>
  <c r="F306" i="16"/>
  <c r="G293" i="16"/>
  <c r="H293" i="16"/>
  <c r="G294" i="16"/>
  <c r="H294" i="16"/>
  <c r="G295" i="16"/>
  <c r="H295" i="16"/>
  <c r="G296" i="16"/>
  <c r="H296" i="16"/>
  <c r="G297" i="16"/>
  <c r="H297" i="16"/>
  <c r="G298" i="16"/>
  <c r="H298" i="16"/>
  <c r="G299" i="16"/>
  <c r="H299" i="16"/>
  <c r="G300" i="16"/>
  <c r="H300" i="16"/>
  <c r="F294" i="16"/>
  <c r="F295" i="16"/>
  <c r="F296" i="16"/>
  <c r="F297" i="16"/>
  <c r="F298" i="16"/>
  <c r="F299" i="16"/>
  <c r="F300" i="16"/>
  <c r="F293" i="16"/>
  <c r="G288" i="16"/>
  <c r="H288" i="16"/>
  <c r="G289" i="16"/>
  <c r="H289" i="16"/>
  <c r="G290" i="16"/>
  <c r="H290" i="16"/>
  <c r="G291" i="16"/>
  <c r="H291" i="16"/>
  <c r="F289" i="16"/>
  <c r="F290" i="16"/>
  <c r="F291" i="16"/>
  <c r="F288" i="16"/>
  <c r="G284" i="16"/>
  <c r="H284" i="16"/>
  <c r="G285" i="16"/>
  <c r="H285" i="16"/>
  <c r="G286" i="16"/>
  <c r="H286" i="16"/>
  <c r="G287" i="16"/>
  <c r="H287" i="16"/>
  <c r="F285" i="16"/>
  <c r="F286" i="16"/>
  <c r="F287" i="16"/>
  <c r="F284" i="16"/>
  <c r="G277" i="16"/>
  <c r="H277" i="16"/>
  <c r="G278" i="16"/>
  <c r="H278" i="16"/>
  <c r="G279" i="16"/>
  <c r="H279" i="16"/>
  <c r="G280" i="16"/>
  <c r="H280" i="16"/>
  <c r="G281" i="16"/>
  <c r="H281" i="16"/>
  <c r="G282" i="16"/>
  <c r="H282" i="16"/>
  <c r="G283" i="16"/>
  <c r="H283" i="16"/>
  <c r="F278" i="16"/>
  <c r="F279" i="16"/>
  <c r="F280" i="16"/>
  <c r="F281" i="16"/>
  <c r="F282" i="16"/>
  <c r="F283" i="16"/>
  <c r="F277" i="16"/>
  <c r="G269" i="16"/>
  <c r="H269" i="16"/>
  <c r="G270" i="16"/>
  <c r="H270" i="16"/>
  <c r="G271" i="16"/>
  <c r="H271" i="16"/>
  <c r="G272" i="16"/>
  <c r="H272" i="16"/>
  <c r="F270" i="16"/>
  <c r="F271" i="16"/>
  <c r="F272" i="16"/>
  <c r="F269" i="16"/>
  <c r="G262" i="16"/>
  <c r="H262" i="16"/>
  <c r="G263" i="16"/>
  <c r="H263" i="16"/>
  <c r="G264" i="16"/>
  <c r="H264" i="16"/>
  <c r="G265" i="16"/>
  <c r="H265" i="16"/>
  <c r="F263" i="16"/>
  <c r="F264" i="16"/>
  <c r="F265" i="16"/>
  <c r="F262" i="16"/>
  <c r="G249" i="16"/>
  <c r="H249" i="16"/>
  <c r="G250" i="16"/>
  <c r="H250" i="16"/>
  <c r="G251" i="16"/>
  <c r="H251" i="16"/>
  <c r="G252" i="16"/>
  <c r="H252" i="16"/>
  <c r="G253" i="16"/>
  <c r="H253" i="16"/>
  <c r="G254" i="16"/>
  <c r="H254" i="16"/>
  <c r="G255" i="16"/>
  <c r="H255" i="16"/>
  <c r="G256" i="16"/>
  <c r="H256" i="16"/>
  <c r="G257" i="16"/>
  <c r="H257" i="16"/>
  <c r="G258" i="16"/>
  <c r="H258" i="16"/>
  <c r="G259" i="16"/>
  <c r="H259" i="16"/>
  <c r="G260" i="16"/>
  <c r="H260" i="16"/>
  <c r="G261" i="16"/>
  <c r="H261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49" i="16"/>
  <c r="F240" i="16"/>
  <c r="G240" i="16"/>
  <c r="H240" i="16"/>
  <c r="F241" i="16"/>
  <c r="G241" i="16"/>
  <c r="H241" i="16"/>
  <c r="G239" i="16"/>
  <c r="H239" i="16"/>
  <c r="F239" i="16"/>
  <c r="F221" i="16"/>
  <c r="G221" i="16"/>
  <c r="H221" i="16"/>
  <c r="F222" i="16"/>
  <c r="G222" i="16"/>
  <c r="H222" i="16"/>
  <c r="F223" i="16"/>
  <c r="G223" i="16"/>
  <c r="H223" i="16"/>
  <c r="F224" i="16"/>
  <c r="G224" i="16"/>
  <c r="H224" i="16"/>
  <c r="F225" i="16"/>
  <c r="G225" i="16"/>
  <c r="H225" i="16"/>
  <c r="F226" i="16"/>
  <c r="G226" i="16"/>
  <c r="H226" i="16"/>
  <c r="F227" i="16"/>
  <c r="G227" i="16"/>
  <c r="H227" i="16"/>
  <c r="F228" i="16"/>
  <c r="G228" i="16"/>
  <c r="H228" i="16"/>
  <c r="F229" i="16"/>
  <c r="G229" i="16"/>
  <c r="H229" i="16"/>
  <c r="F230" i="16"/>
  <c r="G230" i="16"/>
  <c r="H230" i="16"/>
  <c r="G220" i="16"/>
  <c r="H220" i="16"/>
  <c r="F220" i="16"/>
  <c r="G210" i="16"/>
  <c r="H210" i="16"/>
  <c r="G211" i="16"/>
  <c r="H211" i="16"/>
  <c r="G212" i="16"/>
  <c r="H212" i="16"/>
  <c r="G213" i="16"/>
  <c r="H213" i="16"/>
  <c r="G214" i="16"/>
  <c r="H214" i="16"/>
  <c r="G215" i="16"/>
  <c r="H215" i="16"/>
  <c r="G216" i="16"/>
  <c r="H216" i="16"/>
  <c r="G217" i="16"/>
  <c r="H217" i="16"/>
  <c r="G218" i="16"/>
  <c r="H218" i="16"/>
  <c r="G219" i="16"/>
  <c r="H219" i="16"/>
  <c r="F211" i="16"/>
  <c r="F212" i="16"/>
  <c r="F213" i="16"/>
  <c r="F214" i="16"/>
  <c r="F215" i="16"/>
  <c r="F216" i="16"/>
  <c r="F217" i="16"/>
  <c r="F218" i="16"/>
  <c r="F219" i="16"/>
  <c r="F210" i="16"/>
  <c r="G208" i="16"/>
  <c r="H208" i="16"/>
  <c r="G209" i="16"/>
  <c r="H209" i="16"/>
  <c r="F209" i="16"/>
  <c r="F208" i="16"/>
  <c r="G205" i="16"/>
  <c r="H205" i="16"/>
  <c r="G206" i="16"/>
  <c r="H206" i="16"/>
  <c r="F206" i="16"/>
  <c r="F205" i="16"/>
  <c r="G201" i="16"/>
  <c r="H201" i="16"/>
  <c r="G202" i="16"/>
  <c r="H202" i="16"/>
  <c r="G203" i="16"/>
  <c r="H203" i="16"/>
  <c r="F202" i="16"/>
  <c r="F203" i="16"/>
  <c r="F201" i="16"/>
  <c r="F192" i="16"/>
  <c r="G192" i="16"/>
  <c r="H192" i="16"/>
  <c r="F193" i="16"/>
  <c r="G193" i="16"/>
  <c r="H193" i="16"/>
  <c r="F194" i="16"/>
  <c r="G194" i="16"/>
  <c r="H194" i="16"/>
  <c r="F195" i="16"/>
  <c r="G195" i="16"/>
  <c r="H195" i="16"/>
  <c r="F196" i="16"/>
  <c r="G196" i="16"/>
  <c r="H196" i="16"/>
  <c r="G191" i="16"/>
  <c r="H191" i="16"/>
  <c r="F191" i="16"/>
  <c r="F189" i="16"/>
  <c r="G189" i="16"/>
  <c r="H189" i="16"/>
  <c r="F190" i="16"/>
  <c r="G190" i="16"/>
  <c r="H190" i="16"/>
  <c r="G188" i="16"/>
  <c r="H188" i="16"/>
  <c r="F188" i="16"/>
  <c r="G181" i="16"/>
  <c r="H181" i="16"/>
  <c r="F181" i="16"/>
  <c r="G178" i="16"/>
  <c r="H178" i="16"/>
  <c r="F178" i="16"/>
  <c r="G176" i="16"/>
  <c r="G175" i="16" s="1"/>
  <c r="H176" i="16"/>
  <c r="F176" i="16"/>
  <c r="F175" i="16" s="1"/>
  <c r="G156" i="16"/>
  <c r="H156" i="16"/>
  <c r="G157" i="16"/>
  <c r="H157" i="16"/>
  <c r="F157" i="16"/>
  <c r="F156" i="16"/>
  <c r="G154" i="16"/>
  <c r="H154" i="16"/>
  <c r="G155" i="16"/>
  <c r="H155" i="16"/>
  <c r="F155" i="16"/>
  <c r="F154" i="16"/>
  <c r="F152" i="16"/>
  <c r="G152" i="16"/>
  <c r="H152" i="16"/>
  <c r="F153" i="16"/>
  <c r="G153" i="16"/>
  <c r="H153" i="16"/>
  <c r="G151" i="16"/>
  <c r="H151" i="16"/>
  <c r="F151" i="16"/>
  <c r="F147" i="16"/>
  <c r="G147" i="16"/>
  <c r="H147" i="16"/>
  <c r="F148" i="16"/>
  <c r="G148" i="16"/>
  <c r="H148" i="16"/>
  <c r="G146" i="16"/>
  <c r="H146" i="16"/>
  <c r="F146" i="16"/>
  <c r="G142" i="16"/>
  <c r="H142" i="16"/>
  <c r="G143" i="16"/>
  <c r="H143" i="16"/>
  <c r="G144" i="16"/>
  <c r="H144" i="16"/>
  <c r="F143" i="16"/>
  <c r="F144" i="16"/>
  <c r="F142" i="16"/>
  <c r="G170" i="16"/>
  <c r="H170" i="16"/>
  <c r="G171" i="16"/>
  <c r="H171" i="16"/>
  <c r="G172" i="16"/>
  <c r="H172" i="16"/>
  <c r="G173" i="16"/>
  <c r="H173" i="16"/>
  <c r="F171" i="16"/>
  <c r="F172" i="16"/>
  <c r="F173" i="16"/>
  <c r="F170" i="16"/>
  <c r="G168" i="16"/>
  <c r="H168" i="16"/>
  <c r="G169" i="16"/>
  <c r="H169" i="16"/>
  <c r="F169" i="16"/>
  <c r="F168" i="16"/>
  <c r="G139" i="16"/>
  <c r="G138" i="16" s="1"/>
  <c r="H139" i="16"/>
  <c r="F139" i="16"/>
  <c r="F138" i="16" s="1"/>
  <c r="G137" i="16"/>
  <c r="G136" i="16" s="1"/>
  <c r="H137" i="16"/>
  <c r="F137" i="16"/>
  <c r="F136" i="16" s="1"/>
  <c r="G135" i="16"/>
  <c r="G134" i="16" s="1"/>
  <c r="H135" i="16"/>
  <c r="F135" i="16"/>
  <c r="F134" i="16" s="1"/>
  <c r="G131" i="16"/>
  <c r="H131" i="16"/>
  <c r="G132" i="16"/>
  <c r="H132" i="16"/>
  <c r="G133" i="16"/>
  <c r="H133" i="16"/>
  <c r="F132" i="16"/>
  <c r="F133" i="16"/>
  <c r="F131" i="16"/>
  <c r="G114" i="16"/>
  <c r="H114" i="16"/>
  <c r="G115" i="16"/>
  <c r="H115" i="16"/>
  <c r="G116" i="16"/>
  <c r="H116" i="16"/>
  <c r="G117" i="16"/>
  <c r="H117" i="16"/>
  <c r="G118" i="16"/>
  <c r="H118" i="16"/>
  <c r="G119" i="16"/>
  <c r="H119" i="16"/>
  <c r="G120" i="16"/>
  <c r="H120" i="16"/>
  <c r="G121" i="16"/>
  <c r="H121" i="16"/>
  <c r="G122" i="16"/>
  <c r="H122" i="16"/>
  <c r="G123" i="16"/>
  <c r="H123" i="16"/>
  <c r="F115" i="16"/>
  <c r="F116" i="16"/>
  <c r="F117" i="16"/>
  <c r="F118" i="16"/>
  <c r="F119" i="16"/>
  <c r="F120" i="16"/>
  <c r="F121" i="16"/>
  <c r="F122" i="16"/>
  <c r="F123" i="16"/>
  <c r="F114" i="16"/>
  <c r="G110" i="16"/>
  <c r="H110" i="16"/>
  <c r="G111" i="16"/>
  <c r="H111" i="16"/>
  <c r="F111" i="16"/>
  <c r="F110" i="16"/>
  <c r="G106" i="16"/>
  <c r="H106" i="16"/>
  <c r="G107" i="16"/>
  <c r="H107" i="16"/>
  <c r="F107" i="16"/>
  <c r="F106" i="16"/>
  <c r="F105" i="16"/>
  <c r="G105" i="16"/>
  <c r="H105" i="16"/>
  <c r="G104" i="16"/>
  <c r="H104" i="16"/>
  <c r="F104" i="16"/>
  <c r="F102" i="16"/>
  <c r="G102" i="16"/>
  <c r="H102" i="16"/>
  <c r="F103" i="16"/>
  <c r="G103" i="16"/>
  <c r="H103" i="16"/>
  <c r="G101" i="16"/>
  <c r="H101" i="16"/>
  <c r="F101" i="16"/>
  <c r="G97" i="16"/>
  <c r="H97" i="16"/>
  <c r="G98" i="16"/>
  <c r="H98" i="16"/>
  <c r="F98" i="16"/>
  <c r="F97" i="16"/>
  <c r="G87" i="16"/>
  <c r="H87" i="16"/>
  <c r="G88" i="16"/>
  <c r="H88" i="16"/>
  <c r="G89" i="16"/>
  <c r="H89" i="16"/>
  <c r="G90" i="16"/>
  <c r="H90" i="16"/>
  <c r="G91" i="16"/>
  <c r="H91" i="16"/>
  <c r="G92" i="16"/>
  <c r="H92" i="16"/>
  <c r="G93" i="16"/>
  <c r="H93" i="16"/>
  <c r="G94" i="16"/>
  <c r="H94" i="16"/>
  <c r="G95" i="16"/>
  <c r="H95" i="16"/>
  <c r="G96" i="16"/>
  <c r="H96" i="16"/>
  <c r="F88" i="16"/>
  <c r="F89" i="16"/>
  <c r="F90" i="16"/>
  <c r="F91" i="16"/>
  <c r="F92" i="16"/>
  <c r="F93" i="16"/>
  <c r="F94" i="16"/>
  <c r="F95" i="16"/>
  <c r="F96" i="16"/>
  <c r="F87" i="16"/>
  <c r="G41" i="16"/>
  <c r="H41" i="16"/>
  <c r="G42" i="16"/>
  <c r="H42" i="16"/>
  <c r="F42" i="16"/>
  <c r="F41" i="16"/>
  <c r="G27" i="16"/>
  <c r="H27" i="16"/>
  <c r="G28" i="16"/>
  <c r="H28" i="16"/>
  <c r="G29" i="16"/>
  <c r="H29" i="16"/>
  <c r="G30" i="16"/>
  <c r="H30" i="16"/>
  <c r="G31" i="16"/>
  <c r="H31" i="16"/>
  <c r="G32" i="16"/>
  <c r="H32" i="16"/>
  <c r="G33" i="16"/>
  <c r="H33" i="16"/>
  <c r="G34" i="16"/>
  <c r="H34" i="16"/>
  <c r="G35" i="16"/>
  <c r="H35" i="16"/>
  <c r="F28" i="16"/>
  <c r="F29" i="16"/>
  <c r="F30" i="16"/>
  <c r="F31" i="16"/>
  <c r="F32" i="16"/>
  <c r="F33" i="16"/>
  <c r="F34" i="16"/>
  <c r="F35" i="16"/>
  <c r="F36" i="16"/>
  <c r="F27" i="16"/>
  <c r="H24" i="16"/>
  <c r="G24" i="16"/>
  <c r="F24" i="16"/>
  <c r="G23" i="16"/>
  <c r="H23" i="16"/>
  <c r="F23" i="16"/>
  <c r="G20" i="16"/>
  <c r="H20" i="16"/>
  <c r="F20" i="16"/>
  <c r="H8" i="16"/>
  <c r="H9" i="16"/>
  <c r="H10" i="16"/>
  <c r="H11" i="16"/>
  <c r="H12" i="16"/>
  <c r="H13" i="16"/>
  <c r="H14" i="16"/>
  <c r="H15" i="16"/>
  <c r="H16" i="16"/>
  <c r="H17" i="16"/>
  <c r="G8" i="16"/>
  <c r="G9" i="16"/>
  <c r="G10" i="16"/>
  <c r="G11" i="16"/>
  <c r="G12" i="16"/>
  <c r="G13" i="16"/>
  <c r="G14" i="16"/>
  <c r="G15" i="16"/>
  <c r="G16" i="16"/>
  <c r="G17" i="16"/>
  <c r="F8" i="16"/>
  <c r="F9" i="16"/>
  <c r="F10" i="16"/>
  <c r="F11" i="16"/>
  <c r="F12" i="16"/>
  <c r="F13" i="16"/>
  <c r="F14" i="16"/>
  <c r="F15" i="16"/>
  <c r="F16" i="16"/>
  <c r="F17" i="16"/>
  <c r="G7" i="16"/>
  <c r="H7" i="16"/>
  <c r="F7" i="16"/>
  <c r="F187" i="16" l="1"/>
  <c r="G187" i="16"/>
  <c r="H187" i="16"/>
  <c r="H100" i="16"/>
  <c r="F100" i="16"/>
  <c r="G100" i="16"/>
  <c r="H6" i="16"/>
  <c r="G6" i="16"/>
  <c r="F6" i="16"/>
  <c r="F86" i="16"/>
  <c r="G86" i="16"/>
  <c r="H86" i="16"/>
  <c r="H177" i="16"/>
  <c r="F167" i="16"/>
  <c r="G167" i="16"/>
  <c r="G166" i="16" s="1"/>
  <c r="H167" i="16"/>
  <c r="F177" i="16"/>
  <c r="G177" i="16"/>
  <c r="H149" i="16"/>
  <c r="F149" i="16"/>
  <c r="G149" i="16"/>
  <c r="H26" i="16"/>
  <c r="H25" i="16" s="1"/>
  <c r="F26" i="16"/>
  <c r="F25" i="16" s="1"/>
  <c r="G26" i="16"/>
  <c r="G25" i="16" s="1"/>
  <c r="H22" i="16"/>
  <c r="G22" i="16"/>
  <c r="F141" i="16"/>
  <c r="F113" i="16"/>
  <c r="F130" i="16"/>
  <c r="F145" i="16"/>
  <c r="G145" i="16"/>
  <c r="G40" i="16"/>
  <c r="G109" i="16"/>
  <c r="G113" i="16"/>
  <c r="G141" i="16"/>
  <c r="G130" i="16"/>
  <c r="F22" i="16"/>
  <c r="F40" i="16"/>
  <c r="F109" i="16"/>
  <c r="G174" i="16" l="1"/>
  <c r="G21" i="16"/>
  <c r="F174" i="16"/>
  <c r="F21" i="16"/>
  <c r="G140" i="16"/>
  <c r="F166" i="16"/>
  <c r="G128" i="16"/>
  <c r="G129" i="16"/>
  <c r="F128" i="16"/>
  <c r="F129" i="16"/>
  <c r="F112" i="16"/>
  <c r="F85" i="16" s="1"/>
  <c r="G112" i="16"/>
  <c r="G85" i="16" s="1"/>
  <c r="G84" i="16" l="1"/>
  <c r="G19" i="16" s="1"/>
  <c r="J175" i="16" l="1"/>
  <c r="J174" i="16" s="1"/>
  <c r="K175" i="16"/>
  <c r="K174" i="16" s="1"/>
  <c r="M175" i="16"/>
  <c r="M174" i="16" s="1"/>
  <c r="N175" i="16"/>
  <c r="N174" i="16" s="1"/>
  <c r="H175" i="16"/>
  <c r="H174" i="16" s="1"/>
  <c r="J145" i="16"/>
  <c r="K145" i="16"/>
  <c r="M145" i="16"/>
  <c r="N145" i="16"/>
  <c r="H145" i="16"/>
  <c r="J141" i="16"/>
  <c r="K141" i="16"/>
  <c r="M141" i="16"/>
  <c r="N141" i="16"/>
  <c r="H141" i="16"/>
  <c r="J166" i="16"/>
  <c r="K166" i="16"/>
  <c r="M166" i="16"/>
  <c r="H166" i="16"/>
  <c r="J138" i="16"/>
  <c r="K138" i="16"/>
  <c r="M138" i="16"/>
  <c r="N138" i="16"/>
  <c r="H138" i="16"/>
  <c r="J136" i="16"/>
  <c r="K136" i="16"/>
  <c r="M136" i="16"/>
  <c r="N136" i="16"/>
  <c r="H136" i="16"/>
  <c r="J134" i="16"/>
  <c r="K134" i="16"/>
  <c r="M134" i="16"/>
  <c r="N134" i="16"/>
  <c r="H134" i="16"/>
  <c r="J130" i="16"/>
  <c r="J129" i="16" s="1"/>
  <c r="K130" i="16"/>
  <c r="K129" i="16" s="1"/>
  <c r="M130" i="16"/>
  <c r="M129" i="16" s="1"/>
  <c r="N130" i="16"/>
  <c r="N129" i="16" s="1"/>
  <c r="H130" i="16"/>
  <c r="H129" i="16" s="1"/>
  <c r="J113" i="16"/>
  <c r="K113" i="16"/>
  <c r="M113" i="16"/>
  <c r="M112" i="16" s="1"/>
  <c r="N113" i="16"/>
  <c r="H113" i="16"/>
  <c r="J109" i="16"/>
  <c r="K109" i="16"/>
  <c r="M109" i="16"/>
  <c r="N109" i="16"/>
  <c r="H109" i="16"/>
  <c r="H40" i="16"/>
  <c r="H21" i="16" s="1"/>
  <c r="N128" i="16" l="1"/>
  <c r="J128" i="16"/>
  <c r="M128" i="16"/>
  <c r="K128" i="16"/>
  <c r="H140" i="16"/>
  <c r="M140" i="16"/>
  <c r="K140" i="16"/>
  <c r="K112" i="16"/>
  <c r="K85" i="16" s="1"/>
  <c r="N112" i="16"/>
  <c r="N85" i="16" s="1"/>
  <c r="J112" i="16"/>
  <c r="J85" i="16" s="1"/>
  <c r="N140" i="16"/>
  <c r="J140" i="16"/>
  <c r="H112" i="16"/>
  <c r="D403" i="18"/>
  <c r="N84" i="16" l="1"/>
  <c r="K84" i="16"/>
  <c r="M85" i="16"/>
  <c r="M84" i="16" s="1"/>
  <c r="H85" i="16"/>
  <c r="O136" i="16"/>
  <c r="O134" i="16"/>
  <c r="K19" i="16" l="1"/>
  <c r="J84" i="16"/>
  <c r="J19" i="16" s="1"/>
  <c r="M19" i="16"/>
  <c r="N19" i="16"/>
  <c r="O40" i="16"/>
  <c r="O44" i="16"/>
  <c r="O19" i="16"/>
  <c r="O6" i="16"/>
  <c r="D141" i="18" l="1"/>
  <c r="D665" i="18"/>
  <c r="D457" i="18" l="1"/>
  <c r="D676" i="18" l="1"/>
  <c r="D522" i="18" l="1"/>
  <c r="D445" i="18" l="1"/>
  <c r="D585" i="18" l="1"/>
  <c r="D586" i="18"/>
  <c r="D587" i="18"/>
  <c r="D49" i="18" l="1"/>
  <c r="D789" i="18" l="1"/>
  <c r="D87" i="18" l="1"/>
  <c r="D844" i="18" l="1"/>
  <c r="D532" i="18" l="1"/>
  <c r="D369" i="18" l="1"/>
  <c r="D343" i="18"/>
  <c r="D685" i="18" l="1"/>
  <c r="D684" i="18"/>
  <c r="D686" i="18"/>
  <c r="D48" i="18" l="1"/>
  <c r="D390" i="18" l="1"/>
  <c r="O125" i="16"/>
  <c r="D818" i="18"/>
  <c r="D819" i="18"/>
  <c r="D820" i="18"/>
  <c r="D823" i="18"/>
  <c r="D824" i="18"/>
  <c r="D854" i="18"/>
  <c r="D350" i="18" l="1"/>
  <c r="D338" i="18" l="1"/>
  <c r="D349" i="18"/>
  <c r="D677" i="18" l="1"/>
  <c r="D678" i="18"/>
  <c r="D642" i="18"/>
  <c r="D368" i="18" l="1"/>
  <c r="D857" i="18" l="1"/>
  <c r="D528" i="18" l="1"/>
  <c r="D470" i="18"/>
  <c r="D370" i="18" l="1"/>
  <c r="D663" i="18" l="1"/>
  <c r="D653" i="18" l="1"/>
  <c r="D371" i="18" l="1"/>
  <c r="D737" i="18"/>
  <c r="D223" i="18"/>
  <c r="D736" i="18"/>
  <c r="D222" i="18"/>
  <c r="D334" i="18" l="1"/>
  <c r="D199" i="18" l="1"/>
  <c r="D373" i="18" l="1"/>
  <c r="D664" i="18" l="1"/>
  <c r="D402" i="18" l="1"/>
  <c r="D562" i="18" l="1"/>
  <c r="D499" i="18" l="1"/>
  <c r="D398" i="18" l="1"/>
  <c r="D840" i="18" l="1"/>
  <c r="D437" i="18"/>
  <c r="D654" i="18"/>
  <c r="D495" i="18"/>
  <c r="D559" i="18"/>
  <c r="D697" i="18"/>
  <c r="D729" i="18"/>
  <c r="D763" i="18"/>
  <c r="D794" i="18"/>
  <c r="D491" i="18" l="1"/>
  <c r="D427" i="18" l="1"/>
  <c r="D440" i="18" l="1"/>
  <c r="D735" i="18" l="1"/>
  <c r="D647" i="18" l="1"/>
  <c r="D135" i="18" l="1"/>
  <c r="D629" i="18" l="1"/>
  <c r="D630" i="18"/>
  <c r="D620" i="18"/>
  <c r="D621" i="18"/>
  <c r="D600" i="18"/>
  <c r="D601" i="18"/>
  <c r="D137" i="18" l="1"/>
  <c r="D138" i="18"/>
  <c r="D609" i="18"/>
  <c r="D610" i="18"/>
  <c r="D643" i="18"/>
  <c r="D641" i="18"/>
  <c r="D662" i="18"/>
  <c r="D661" i="18"/>
  <c r="D660" i="18"/>
  <c r="D658" i="18"/>
  <c r="D521" i="18" l="1"/>
  <c r="D551" i="18" l="1"/>
  <c r="D553" i="18"/>
  <c r="D568" i="18"/>
  <c r="D120" i="18"/>
  <c r="D107" i="18"/>
  <c r="D567" i="18"/>
  <c r="D566" i="18"/>
  <c r="D565" i="18"/>
  <c r="D487" i="18" l="1"/>
  <c r="D490" i="18"/>
  <c r="D506" i="18"/>
  <c r="D505" i="18"/>
  <c r="D502" i="18"/>
  <c r="D777" i="18"/>
  <c r="D267" i="18"/>
  <c r="D258" i="18"/>
  <c r="D247" i="18"/>
  <c r="D758" i="18"/>
  <c r="D755" i="18"/>
  <c r="D244" i="18"/>
  <c r="D246" i="18"/>
  <c r="D757" i="18"/>
  <c r="D712" i="18"/>
  <c r="D188" i="18"/>
  <c r="D160" i="18"/>
  <c r="D167" i="18" l="1"/>
  <c r="D691" i="18"/>
  <c r="D692" i="18"/>
  <c r="D689" i="18"/>
  <c r="O131" i="16" l="1"/>
  <c r="D16" i="18" l="1"/>
  <c r="D444" i="18"/>
  <c r="D452" i="18"/>
  <c r="D467" i="18"/>
  <c r="D423" i="18"/>
  <c r="D469" i="18"/>
  <c r="D425" i="18"/>
  <c r="D535" i="18"/>
  <c r="D527" i="18"/>
  <c r="D525" i="18"/>
  <c r="D62" i="18" l="1"/>
  <c r="D498" i="18"/>
  <c r="D529" i="18"/>
  <c r="D787" i="18" l="1"/>
  <c r="D325" i="18"/>
  <c r="D322" i="18"/>
  <c r="D784" i="18"/>
  <c r="D324" i="18"/>
  <c r="D326" i="18"/>
  <c r="D786" i="18"/>
  <c r="D344" i="18"/>
  <c r="D804" i="18"/>
  <c r="D211" i="18" l="1"/>
  <c r="D388" i="18"/>
  <c r="D834" i="18"/>
  <c r="D722" i="18" l="1"/>
  <c r="D723" i="18"/>
  <c r="D720" i="18"/>
  <c r="O109" i="16" l="1"/>
  <c r="D456" i="18" l="1"/>
  <c r="O337" i="16" l="1"/>
  <c r="D851" i="18"/>
  <c r="D843" i="18" l="1"/>
  <c r="D835" i="18"/>
  <c r="D833" i="18"/>
  <c r="D386" i="18"/>
  <c r="D831" i="18"/>
  <c r="D412" i="18"/>
  <c r="D413" i="18"/>
  <c r="D513" i="18" l="1"/>
  <c r="D776" i="18" l="1"/>
  <c r="D28" i="18" l="1"/>
  <c r="D355" i="18" l="1"/>
  <c r="D809" i="18" l="1"/>
  <c r="D670" i="18" l="1"/>
  <c r="D147" i="18"/>
  <c r="D463" i="18"/>
  <c r="D297" i="18" l="1"/>
  <c r="D744" i="18" l="1"/>
  <c r="D748" i="18"/>
  <c r="D234" i="18"/>
  <c r="D429" i="18"/>
  <c r="D577" i="18"/>
  <c r="D576" i="18"/>
  <c r="D520" i="18" l="1"/>
  <c r="D519" i="18"/>
  <c r="D462" i="18"/>
  <c r="D461" i="18"/>
  <c r="D813" i="18"/>
  <c r="D354" i="18"/>
  <c r="D872" i="18" l="1"/>
  <c r="D873" i="18"/>
  <c r="D874" i="18"/>
  <c r="D876" i="18"/>
  <c r="D863" i="18" l="1"/>
  <c r="D860" i="18"/>
  <c r="D861" i="18"/>
  <c r="D862" i="18"/>
  <c r="D414" i="18"/>
  <c r="D415" i="18"/>
  <c r="D420" i="18"/>
  <c r="D416" i="18"/>
  <c r="D409" i="18"/>
  <c r="D383" i="18"/>
  <c r="D384" i="18"/>
  <c r="P4" i="16" l="1"/>
  <c r="D153" i="18"/>
  <c r="D149" i="18"/>
  <c r="D143" i="18"/>
  <c r="D124" i="18"/>
  <c r="D829" i="18" l="1"/>
  <c r="D830" i="18"/>
  <c r="D832" i="18"/>
  <c r="D836" i="18"/>
  <c r="D837" i="18"/>
  <c r="D838" i="18"/>
  <c r="D841" i="18"/>
  <c r="D842" i="18"/>
  <c r="D845" i="18"/>
  <c r="D839" i="18"/>
  <c r="D846" i="18"/>
  <c r="D847" i="18"/>
  <c r="D848" i="18"/>
  <c r="D849" i="18"/>
  <c r="D850" i="18"/>
  <c r="D853" i="18"/>
  <c r="D852" i="18"/>
  <c r="D856" i="18"/>
  <c r="D858" i="18"/>
  <c r="D378" i="18"/>
  <c r="D379" i="18"/>
  <c r="D380" i="18"/>
  <c r="D382" i="18"/>
  <c r="D381" i="18"/>
  <c r="D385" i="18"/>
  <c r="D387" i="18"/>
  <c r="D389" i="18"/>
  <c r="D392" i="18"/>
  <c r="D393" i="18"/>
  <c r="D395" i="18"/>
  <c r="D396" i="18"/>
  <c r="D397" i="18"/>
  <c r="D399" i="18"/>
  <c r="D394" i="18"/>
  <c r="D400" i="18"/>
  <c r="D401" i="18"/>
  <c r="D404" i="18"/>
  <c r="D405" i="18"/>
  <c r="D407" i="18"/>
  <c r="D406" i="18"/>
  <c r="D408" i="18"/>
  <c r="D410" i="18"/>
  <c r="D411" i="18"/>
  <c r="D417" i="18"/>
  <c r="D418" i="18"/>
  <c r="D419" i="18"/>
  <c r="D377" i="18"/>
  <c r="D351" i="18" l="1"/>
  <c r="D265" i="18"/>
  <c r="D230" i="18"/>
  <c r="D514" i="18" l="1"/>
  <c r="D554" i="18" l="1"/>
  <c r="D530" i="18" l="1"/>
  <c r="D486" i="18" l="1"/>
  <c r="D488" i="18"/>
  <c r="O22" i="16"/>
  <c r="O26" i="16"/>
  <c r="O86" i="16"/>
  <c r="O100" i="16"/>
  <c r="O113" i="16"/>
  <c r="O141" i="16"/>
  <c r="O145" i="16"/>
  <c r="D544" i="18" l="1"/>
  <c r="D543" i="18"/>
  <c r="D545" i="18"/>
  <c r="E2" i="8" l="1"/>
  <c r="D152" i="18" l="1"/>
  <c r="D151" i="18"/>
  <c r="D150" i="18"/>
  <c r="D146" i="18"/>
  <c r="D145" i="18"/>
  <c r="D144" i="18"/>
  <c r="D142" i="18"/>
  <c r="D139" i="18"/>
  <c r="D140" i="18"/>
  <c r="D131" i="18"/>
  <c r="D136" i="18"/>
  <c r="D134" i="18"/>
  <c r="D133" i="18"/>
  <c r="D132" i="18"/>
  <c r="D130" i="18"/>
  <c r="D129" i="18"/>
  <c r="D127" i="18"/>
  <c r="D126" i="18"/>
  <c r="D125" i="18"/>
  <c r="D305" i="18"/>
  <c r="D308" i="18"/>
  <c r="D309" i="18"/>
  <c r="D310" i="18"/>
  <c r="D311" i="18"/>
  <c r="D314" i="18"/>
  <c r="D312" i="18"/>
  <c r="D315" i="18"/>
  <c r="D316" i="18"/>
  <c r="D348" i="18"/>
  <c r="D320" i="18"/>
  <c r="D321" i="18"/>
  <c r="D323" i="18"/>
  <c r="D327" i="18"/>
  <c r="D328" i="18"/>
  <c r="D329" i="18"/>
  <c r="D331" i="18"/>
  <c r="D332" i="18"/>
  <c r="D335" i="18"/>
  <c r="D336" i="18"/>
  <c r="D330" i="18"/>
  <c r="D337" i="18"/>
  <c r="D339" i="18"/>
  <c r="D340" i="18"/>
  <c r="D341" i="18"/>
  <c r="D342" i="18"/>
  <c r="D346" i="18"/>
  <c r="D345" i="18"/>
  <c r="D347" i="18"/>
  <c r="D353" i="18"/>
  <c r="D360" i="18"/>
  <c r="D361" i="18"/>
  <c r="D372" i="18"/>
  <c r="D362" i="18"/>
  <c r="D363" i="18"/>
  <c r="D364" i="18"/>
  <c r="D365" i="18"/>
  <c r="D366" i="18"/>
  <c r="D367" i="18"/>
  <c r="D317" i="18"/>
  <c r="D293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4" i="18"/>
  <c r="D295" i="18"/>
  <c r="D296" i="18"/>
  <c r="D298" i="18"/>
  <c r="D299" i="18"/>
  <c r="D304" i="18"/>
  <c r="D300" i="18"/>
  <c r="D301" i="18"/>
  <c r="D302" i="18"/>
  <c r="D303" i="18"/>
  <c r="D264" i="18"/>
  <c r="D242" i="18"/>
  <c r="D243" i="18"/>
  <c r="D245" i="18"/>
  <c r="D248" i="18"/>
  <c r="D249" i="18"/>
  <c r="D250" i="18"/>
  <c r="D252" i="18"/>
  <c r="D253" i="18"/>
  <c r="D254" i="18"/>
  <c r="D255" i="18"/>
  <c r="D256" i="18"/>
  <c r="D251" i="18"/>
  <c r="D257" i="18"/>
  <c r="D259" i="18"/>
  <c r="D260" i="18"/>
  <c r="D262" i="18"/>
  <c r="D261" i="18"/>
  <c r="D263" i="18"/>
  <c r="D266" i="18"/>
  <c r="D268" i="18"/>
  <c r="D269" i="18"/>
  <c r="D277" i="18"/>
  <c r="D270" i="18"/>
  <c r="D271" i="18"/>
  <c r="D272" i="18"/>
  <c r="D273" i="18"/>
  <c r="D274" i="18"/>
  <c r="D229" i="18"/>
  <c r="D201" i="18"/>
  <c r="D209" i="18"/>
  <c r="D210" i="18"/>
  <c r="D212" i="18"/>
  <c r="D213" i="18"/>
  <c r="D214" i="18"/>
  <c r="D216" i="18"/>
  <c r="D217" i="18"/>
  <c r="D218" i="18"/>
  <c r="D219" i="18"/>
  <c r="D220" i="18"/>
  <c r="D215" i="18"/>
  <c r="D224" i="18"/>
  <c r="D225" i="18"/>
  <c r="D227" i="18"/>
  <c r="D226" i="18"/>
  <c r="D228" i="18"/>
  <c r="D231" i="18"/>
  <c r="D232" i="18"/>
  <c r="D233" i="18"/>
  <c r="D235" i="18"/>
  <c r="D236" i="18"/>
  <c r="D241" i="18"/>
  <c r="D237" i="18"/>
  <c r="D238" i="18"/>
  <c r="D239" i="18"/>
  <c r="D240" i="18"/>
  <c r="D154" i="18"/>
  <c r="D155" i="18"/>
  <c r="D156" i="18"/>
  <c r="D157" i="18"/>
  <c r="D158" i="18"/>
  <c r="D159" i="18"/>
  <c r="D162" i="18"/>
  <c r="D161" i="18"/>
  <c r="D185" i="18"/>
  <c r="D164" i="18"/>
  <c r="D165" i="18"/>
  <c r="D166" i="18"/>
  <c r="D168" i="18"/>
  <c r="D169" i="18"/>
  <c r="D170" i="18"/>
  <c r="D172" i="18"/>
  <c r="D173" i="18"/>
  <c r="D174" i="18"/>
  <c r="D175" i="18"/>
  <c r="D176" i="18"/>
  <c r="D171" i="18"/>
  <c r="D177" i="18"/>
  <c r="D178" i="18"/>
  <c r="D179" i="18"/>
  <c r="D180" i="18"/>
  <c r="D181" i="18"/>
  <c r="D183" i="18"/>
  <c r="D182" i="18"/>
  <c r="D184" i="18"/>
  <c r="D186" i="18"/>
  <c r="D187" i="18"/>
  <c r="D190" i="18"/>
  <c r="D191" i="18"/>
  <c r="D200" i="18"/>
  <c r="D192" i="18"/>
  <c r="D193" i="18"/>
  <c r="D194" i="18"/>
  <c r="D195" i="18"/>
  <c r="D196" i="18"/>
  <c r="D197" i="18"/>
  <c r="D198" i="18"/>
  <c r="D163" i="18"/>
  <c r="D111" i="18"/>
  <c r="D95" i="18"/>
  <c r="D96" i="18"/>
  <c r="D97" i="18"/>
  <c r="D98" i="18"/>
  <c r="D99" i="18"/>
  <c r="D100" i="18"/>
  <c r="D102" i="18"/>
  <c r="D103" i="18"/>
  <c r="D104" i="18"/>
  <c r="D105" i="18"/>
  <c r="D106" i="18"/>
  <c r="D101" i="18"/>
  <c r="D109" i="18"/>
  <c r="D108" i="18"/>
  <c r="D110" i="18"/>
  <c r="D112" i="18"/>
  <c r="D113" i="18"/>
  <c r="D114" i="18"/>
  <c r="D115" i="18"/>
  <c r="D121" i="18"/>
  <c r="D116" i="18"/>
  <c r="D117" i="18"/>
  <c r="D118" i="18"/>
  <c r="D119" i="18"/>
  <c r="D44" i="18"/>
  <c r="D45" i="18"/>
  <c r="D46" i="18"/>
  <c r="D47" i="18"/>
  <c r="D51" i="18"/>
  <c r="D50" i="18"/>
  <c r="D52" i="18"/>
  <c r="D53" i="18"/>
  <c r="D54" i="18"/>
  <c r="D55" i="18"/>
  <c r="D56" i="18"/>
  <c r="D57" i="18"/>
  <c r="D58" i="18"/>
  <c r="D59" i="18"/>
  <c r="D60" i="18"/>
  <c r="D61" i="18"/>
  <c r="D63" i="18"/>
  <c r="D64" i="18"/>
  <c r="D65" i="18"/>
  <c r="D66" i="18"/>
  <c r="D67" i="18"/>
  <c r="D68" i="18"/>
  <c r="D69" i="18"/>
  <c r="D70" i="18"/>
  <c r="D71" i="18"/>
  <c r="D72" i="18"/>
  <c r="D73" i="18"/>
  <c r="D75" i="18"/>
  <c r="D76" i="18"/>
  <c r="D77" i="18"/>
  <c r="D42" i="18"/>
  <c r="D43" i="18"/>
  <c r="D88" i="18"/>
  <c r="D82" i="18"/>
  <c r="D83" i="18"/>
  <c r="D84" i="18"/>
  <c r="D85" i="18"/>
  <c r="D86" i="18"/>
  <c r="D74" i="18"/>
  <c r="D24" i="18"/>
  <c r="D4" i="18"/>
  <c r="D5" i="18"/>
  <c r="D6" i="18"/>
  <c r="D7" i="18"/>
  <c r="D8" i="18"/>
  <c r="D9" i="18"/>
  <c r="D11" i="18"/>
  <c r="D12" i="18"/>
  <c r="D13" i="18"/>
  <c r="D14" i="18"/>
  <c r="D10" i="18"/>
  <c r="D15" i="18"/>
  <c r="D17" i="18"/>
  <c r="D18" i="18"/>
  <c r="D19" i="18"/>
  <c r="D20" i="18"/>
  <c r="D22" i="18"/>
  <c r="D21" i="18"/>
  <c r="D23" i="18"/>
  <c r="D25" i="18"/>
  <c r="D26" i="18"/>
  <c r="D27" i="18"/>
  <c r="D33" i="18"/>
  <c r="D34" i="18"/>
  <c r="D41" i="18"/>
  <c r="D35" i="18"/>
  <c r="D36" i="18"/>
  <c r="D37" i="18"/>
  <c r="D38" i="18"/>
  <c r="D39" i="18"/>
  <c r="D40" i="18"/>
  <c r="D453" i="18"/>
  <c r="D421" i="18"/>
  <c r="D422" i="18"/>
  <c r="D424" i="18"/>
  <c r="D426" i="18"/>
  <c r="D430" i="18"/>
  <c r="D433" i="18"/>
  <c r="D434" i="18"/>
  <c r="D438" i="18"/>
  <c r="D439" i="18"/>
  <c r="D441" i="18"/>
  <c r="D442" i="18"/>
  <c r="D436" i="18"/>
  <c r="D443" i="18"/>
  <c r="D446" i="18"/>
  <c r="D447" i="18"/>
  <c r="D448" i="18"/>
  <c r="D449" i="18"/>
  <c r="D451" i="18"/>
  <c r="D450" i="18"/>
  <c r="D458" i="18"/>
  <c r="D459" i="18"/>
  <c r="D460" i="18"/>
  <c r="D481" i="18"/>
  <c r="D478" i="18"/>
  <c r="D479" i="18"/>
  <c r="D480" i="18"/>
  <c r="D477" i="18"/>
  <c r="D465" i="18"/>
  <c r="D466" i="18"/>
  <c r="D468" i="18"/>
  <c r="D471" i="18"/>
  <c r="D472" i="18"/>
  <c r="D473" i="18"/>
  <c r="D474" i="18"/>
  <c r="D475" i="18"/>
  <c r="D476" i="18"/>
  <c r="D511" i="18"/>
  <c r="D485" i="18"/>
  <c r="D489" i="18"/>
  <c r="D492" i="18"/>
  <c r="D493" i="18"/>
  <c r="D496" i="18"/>
  <c r="D497" i="18"/>
  <c r="D500" i="18"/>
  <c r="D501" i="18"/>
  <c r="D494" i="18"/>
  <c r="D503" i="18"/>
  <c r="D504" i="18"/>
  <c r="D507" i="18"/>
  <c r="D879" i="18"/>
  <c r="D880" i="18"/>
  <c r="D782" i="18"/>
  <c r="D783" i="18"/>
  <c r="D785" i="18"/>
  <c r="D788" i="18"/>
  <c r="D790" i="18"/>
  <c r="D791" i="18"/>
  <c r="D795" i="18"/>
  <c r="D796" i="18"/>
  <c r="D797" i="18"/>
  <c r="D798" i="18"/>
  <c r="D793" i="18"/>
  <c r="D799" i="18"/>
  <c r="D800" i="18"/>
  <c r="D801" i="18"/>
  <c r="D802" i="18"/>
  <c r="D803" i="18"/>
  <c r="D806" i="18"/>
  <c r="D805" i="18"/>
  <c r="D810" i="18"/>
  <c r="D811" i="18"/>
  <c r="D812" i="18"/>
  <c r="D817" i="18"/>
  <c r="D814" i="18"/>
  <c r="D815" i="18"/>
  <c r="D816" i="18"/>
  <c r="D807" i="18"/>
  <c r="BZ5" i="8"/>
  <c r="BE3" i="8"/>
  <c r="D883" i="18"/>
  <c r="D871" i="18"/>
  <c r="D781" i="18"/>
  <c r="D753" i="18"/>
  <c r="D749" i="18"/>
  <c r="D718" i="18"/>
  <c r="D717" i="18"/>
  <c r="D687" i="18"/>
  <c r="D666" i="18"/>
  <c r="D644" i="18"/>
  <c r="D631" i="18"/>
  <c r="D622" i="18"/>
  <c r="D611" i="18"/>
  <c r="D594" i="18"/>
  <c r="D581" i="18"/>
  <c r="D549" i="18"/>
  <c r="D542" i="18"/>
  <c r="D882" i="18"/>
  <c r="D652" i="18"/>
  <c r="D656" i="18"/>
  <c r="D657" i="18"/>
  <c r="D659" i="18"/>
  <c r="D638" i="18"/>
  <c r="D639" i="18"/>
  <c r="D640" i="18"/>
  <c r="D627" i="18"/>
  <c r="D628" i="18"/>
  <c r="D615" i="18"/>
  <c r="D617" i="18"/>
  <c r="D618" i="18"/>
  <c r="D606" i="18"/>
  <c r="D607" i="18"/>
  <c r="D608" i="18"/>
  <c r="D598" i="18"/>
  <c r="D599" i="18"/>
  <c r="D534" i="18"/>
  <c r="D536" i="18"/>
  <c r="D538" i="18"/>
  <c r="D539" i="18"/>
  <c r="D761" i="18"/>
  <c r="D764" i="18"/>
  <c r="D765" i="18"/>
  <c r="D766" i="18"/>
  <c r="D726" i="18"/>
  <c r="D730" i="18"/>
  <c r="D731" i="18"/>
  <c r="D732" i="18"/>
  <c r="D733" i="18"/>
  <c r="D695" i="18"/>
  <c r="D698" i="18"/>
  <c r="D699" i="18"/>
  <c r="D700" i="18"/>
  <c r="D557" i="18"/>
  <c r="D560" i="18"/>
  <c r="D561" i="18"/>
  <c r="D563" i="18"/>
  <c r="D564" i="18"/>
  <c r="D875" i="18"/>
  <c r="D878" i="18"/>
  <c r="D881" i="18"/>
  <c r="D884" i="18"/>
  <c r="D877" i="18"/>
  <c r="D754" i="18"/>
  <c r="D756" i="18"/>
  <c r="D759" i="18"/>
  <c r="D760" i="18"/>
  <c r="D762" i="18"/>
  <c r="D767" i="18"/>
  <c r="D768" i="18"/>
  <c r="D769" i="18"/>
  <c r="D771" i="18"/>
  <c r="D770" i="18"/>
  <c r="D774" i="18"/>
  <c r="D775" i="18"/>
  <c r="D778" i="18"/>
  <c r="D779" i="18"/>
  <c r="D780" i="18"/>
  <c r="D772" i="18"/>
  <c r="D719" i="18"/>
  <c r="D721" i="18"/>
  <c r="D724" i="18"/>
  <c r="D725" i="18"/>
  <c r="D728" i="18"/>
  <c r="D738" i="18"/>
  <c r="D739" i="18"/>
  <c r="D741" i="18"/>
  <c r="D740" i="18"/>
  <c r="D745" i="18"/>
  <c r="D746" i="18"/>
  <c r="D747" i="18"/>
  <c r="D750" i="18"/>
  <c r="D751" i="18"/>
  <c r="D752" i="18"/>
  <c r="D742" i="18"/>
  <c r="D688" i="18"/>
  <c r="D690" i="18"/>
  <c r="D693" i="18"/>
  <c r="D694" i="18"/>
  <c r="D696" i="18"/>
  <c r="D701" i="18"/>
  <c r="D702" i="18"/>
  <c r="D703" i="18"/>
  <c r="D704" i="18"/>
  <c r="D705" i="18"/>
  <c r="D707" i="18"/>
  <c r="D706" i="18"/>
  <c r="D710" i="18"/>
  <c r="D711" i="18"/>
  <c r="D714" i="18"/>
  <c r="D715" i="18"/>
  <c r="D716" i="18"/>
  <c r="D708" i="18"/>
  <c r="D595" i="18"/>
  <c r="D596" i="18"/>
  <c r="D597" i="18"/>
  <c r="D603" i="18"/>
  <c r="D604" i="18"/>
  <c r="D605" i="18"/>
  <c r="D612" i="18"/>
  <c r="D613" i="18"/>
  <c r="D614" i="18"/>
  <c r="D619" i="18"/>
  <c r="D623" i="18"/>
  <c r="D624" i="18"/>
  <c r="D625" i="18"/>
  <c r="D626" i="18"/>
  <c r="D632" i="18"/>
  <c r="D633" i="18"/>
  <c r="D634" i="18"/>
  <c r="D635" i="18"/>
  <c r="D645" i="18"/>
  <c r="D646" i="18"/>
  <c r="D648" i="18"/>
  <c r="D649" i="18"/>
  <c r="D651" i="18"/>
  <c r="D667" i="18"/>
  <c r="D668" i="18"/>
  <c r="D669" i="18"/>
  <c r="D602" i="18"/>
  <c r="D550" i="18"/>
  <c r="D552" i="18"/>
  <c r="D555" i="18"/>
  <c r="D556" i="18"/>
  <c r="D558" i="18"/>
  <c r="D570" i="18"/>
  <c r="D569" i="18"/>
  <c r="D573" i="18"/>
  <c r="D574" i="18"/>
  <c r="D575" i="18"/>
  <c r="D578" i="18"/>
  <c r="D579" i="18"/>
  <c r="D580" i="18"/>
  <c r="D571" i="18"/>
  <c r="D508" i="18"/>
  <c r="D510" i="18"/>
  <c r="D509" i="18"/>
  <c r="D516" i="18"/>
  <c r="D517" i="18"/>
  <c r="D518" i="18"/>
  <c r="D523" i="18"/>
  <c r="D524" i="18"/>
  <c r="D526" i="18"/>
  <c r="D531" i="18"/>
  <c r="D533" i="18"/>
  <c r="D540" i="18"/>
  <c r="D541" i="18"/>
  <c r="O1" i="16"/>
  <c r="AR7" i="8"/>
  <c r="AK7" i="8"/>
  <c r="V7" i="8"/>
  <c r="P7" i="8"/>
  <c r="T7" i="8"/>
  <c r="N7" i="8"/>
  <c r="E6" i="8"/>
  <c r="B310" i="16" l="1" a="1"/>
  <c r="A310" i="16" a="1"/>
  <c r="B73" i="16" a="1"/>
  <c r="B73" i="16" s="1"/>
  <c r="A73" i="16" a="1"/>
  <c r="A73" i="16" s="1"/>
  <c r="B72" i="16" a="1"/>
  <c r="B72" i="16" s="1"/>
  <c r="A72" i="16" a="1"/>
  <c r="A72" i="16" s="1"/>
  <c r="B269" i="16" a="1"/>
  <c r="B269" i="16" s="1"/>
  <c r="A269" i="16" a="1"/>
  <c r="A275" i="16" s="1"/>
  <c r="B220" i="16" a="1"/>
  <c r="A220" i="16" a="1"/>
  <c r="B45" i="16" a="1"/>
  <c r="A45" i="16" a="1"/>
  <c r="A19" i="19" a="1"/>
  <c r="C19" i="19" a="1"/>
  <c r="D19" i="19" a="1"/>
  <c r="B19" i="19" a="1"/>
  <c r="A125" i="16" a="1"/>
  <c r="A125" i="16" s="1"/>
  <c r="A131" i="16" a="1"/>
  <c r="A131" i="16" s="1"/>
  <c r="B125" i="16" a="1"/>
  <c r="B125" i="16" s="1"/>
  <c r="B131" i="16" a="1"/>
  <c r="B131" i="16" s="1"/>
  <c r="A288" i="16" a="1"/>
  <c r="A290" i="16" s="1"/>
  <c r="B288" i="16" a="1"/>
  <c r="B290" i="16" s="1"/>
  <c r="B197" i="16" a="1"/>
  <c r="A197" i="16" a="1"/>
  <c r="A201" i="16" a="1"/>
  <c r="A201" i="16" s="1"/>
  <c r="A325" i="16" a="1"/>
  <c r="A320" i="16" a="1"/>
  <c r="B325" i="16" a="1"/>
  <c r="B320" i="16" a="1"/>
  <c r="A62" i="16" a="1"/>
  <c r="A62" i="16" s="1"/>
  <c r="B62" i="16" a="1"/>
  <c r="B62" i="16" s="1"/>
  <c r="B61" i="16" a="1"/>
  <c r="B61" i="16" s="1"/>
  <c r="A39" i="16" a="1"/>
  <c r="A39" i="16" s="1"/>
  <c r="B20" i="16" a="1"/>
  <c r="B20" i="16" s="1"/>
  <c r="A20" i="16" a="1"/>
  <c r="A20" i="16" s="1"/>
  <c r="B293" i="16" a="1"/>
  <c r="A293" i="16" a="1"/>
  <c r="B262" i="16" a="1"/>
  <c r="A262" i="16" a="1"/>
  <c r="B239" i="16" a="1"/>
  <c r="A239" i="16" a="1"/>
  <c r="A205" i="16" a="1"/>
  <c r="B205" i="16" a="1"/>
  <c r="B41" i="16" a="1"/>
  <c r="A41" i="16" a="1"/>
  <c r="B108" i="16" a="1"/>
  <c r="B108" i="16" s="1"/>
  <c r="A108" i="16" a="1"/>
  <c r="A108" i="16" s="1"/>
  <c r="A339" i="16" a="1"/>
  <c r="A339" i="16" s="1"/>
  <c r="B339" i="16" a="1"/>
  <c r="B339" i="16" s="1"/>
  <c r="A342" i="16" a="1"/>
  <c r="A342" i="16" s="1"/>
  <c r="B342" i="16" a="1"/>
  <c r="B342" i="16" s="1"/>
  <c r="A345" i="16" a="1"/>
  <c r="A346" i="16" s="1"/>
  <c r="B345" i="16" a="1"/>
  <c r="B345" i="16" s="1"/>
  <c r="B7" i="16" a="1"/>
  <c r="A7" i="16" a="1"/>
  <c r="J12" i="97" a="1"/>
  <c r="J12" i="97" s="1"/>
  <c r="J2" i="97" a="1"/>
  <c r="K2" i="97" a="1"/>
  <c r="J22" i="97" a="1"/>
  <c r="J17" i="97" a="1"/>
  <c r="B64" i="16" a="1"/>
  <c r="A64" i="16" a="1"/>
  <c r="A97" i="16" a="1"/>
  <c r="A97" i="16" s="1"/>
  <c r="B97" i="16" a="1"/>
  <c r="B97" i="16" s="1"/>
  <c r="B172" i="16" a="1"/>
  <c r="A172" i="16" a="1"/>
  <c r="B170" i="16" a="1"/>
  <c r="A170" i="16" a="1"/>
  <c r="B168" i="16" a="1"/>
  <c r="A168" i="16" a="1"/>
  <c r="B185" i="16" a="1"/>
  <c r="A185" i="16" a="1"/>
  <c r="B183" i="16" a="1"/>
  <c r="A183" i="16" a="1"/>
  <c r="B181" i="16" a="1"/>
  <c r="A181" i="16" a="1"/>
  <c r="A178" i="16" a="1"/>
  <c r="A179" i="16" s="1"/>
  <c r="B178" i="16" a="1"/>
  <c r="B306" i="16" a="1"/>
  <c r="A306" i="16" a="1"/>
  <c r="B284" i="16" a="1"/>
  <c r="A284" i="16" a="1"/>
  <c r="B277" i="16" a="1"/>
  <c r="A277" i="16" a="1"/>
  <c r="B249" i="16" a="1"/>
  <c r="A249" i="16" a="1"/>
  <c r="B246" i="16" a="1"/>
  <c r="A246" i="16" a="1"/>
  <c r="B210" i="16" a="1"/>
  <c r="A210" i="16" a="1"/>
  <c r="B208" i="16" a="1"/>
  <c r="A208" i="16" a="1"/>
  <c r="B201" i="16" a="1"/>
  <c r="B188" i="16" a="1"/>
  <c r="B188" i="16" s="1"/>
  <c r="B191" i="16" a="1"/>
  <c r="A191" i="16" a="1"/>
  <c r="A188" i="16" a="1"/>
  <c r="A188" i="16" s="1"/>
  <c r="A158" i="16"/>
  <c r="B156" i="16" a="1"/>
  <c r="A156" i="16" a="1"/>
  <c r="B154" i="16" a="1"/>
  <c r="A154" i="16" a="1"/>
  <c r="B151" i="16" a="1"/>
  <c r="A151" i="16" a="1"/>
  <c r="B106" i="16" a="1"/>
  <c r="A106" i="16" a="1"/>
  <c r="B104" i="16" a="1"/>
  <c r="A104" i="16" a="1"/>
  <c r="A77" i="16" a="1"/>
  <c r="B77" i="16" a="1"/>
  <c r="A61" i="16" a="1"/>
  <c r="A61" i="16" s="1"/>
  <c r="B23" i="16" a="1"/>
  <c r="B27" i="16" a="1"/>
  <c r="B38" i="16" a="1"/>
  <c r="B38" i="16" s="1"/>
  <c r="A23" i="16" a="1"/>
  <c r="A27" i="16" a="1"/>
  <c r="A38" i="16" a="1"/>
  <c r="A38" i="16" s="1"/>
  <c r="B39" i="16" a="1"/>
  <c r="B39" i="16" s="1"/>
  <c r="F346" i="16"/>
  <c r="I70" i="96" a="1"/>
  <c r="I58" i="96" a="1"/>
  <c r="C58" i="96" a="1"/>
  <c r="C58" i="96" s="1"/>
  <c r="G58" i="96" a="1"/>
  <c r="G58" i="96" s="1"/>
  <c r="A70" i="96" a="1"/>
  <c r="C43" i="96" a="1"/>
  <c r="E43" i="96" a="1"/>
  <c r="F58" i="96" a="1"/>
  <c r="A58" i="96" a="1"/>
  <c r="O53" i="8"/>
  <c r="BV54" i="8"/>
  <c r="O54" i="8"/>
  <c r="BV53" i="8"/>
  <c r="A54" i="8"/>
  <c r="A53" i="8"/>
  <c r="B137" i="16" a="1"/>
  <c r="B137" i="16" s="1"/>
  <c r="A137" i="16" a="1"/>
  <c r="A137" i="16" s="1"/>
  <c r="B158" i="16" a="1"/>
  <c r="B158" i="16" s="1"/>
  <c r="A150" i="16" a="1"/>
  <c r="A150" i="16" s="1"/>
  <c r="B150" i="16" a="1"/>
  <c r="B150" i="16" s="1"/>
  <c r="B146" i="16" a="1"/>
  <c r="A146" i="16" a="1"/>
  <c r="A142" i="16" a="1"/>
  <c r="B142" i="16" a="1"/>
  <c r="B114" i="16" a="1"/>
  <c r="A114" i="16" a="1"/>
  <c r="B101" i="16" a="1"/>
  <c r="A101" i="16" a="1"/>
  <c r="B87" i="16" a="1"/>
  <c r="A87" i="16" a="1"/>
  <c r="B139" i="16" a="1"/>
  <c r="B139" i="16" s="1"/>
  <c r="A139" i="16" a="1"/>
  <c r="A139" i="16" s="1"/>
  <c r="A126" i="16" a="1"/>
  <c r="A127" i="16" s="1"/>
  <c r="B126" i="16" a="1"/>
  <c r="B126" i="16" s="1"/>
  <c r="B110" i="16" a="1"/>
  <c r="A110" i="16" a="1"/>
  <c r="A310" i="16" l="1"/>
  <c r="A314" i="16"/>
  <c r="A317" i="16"/>
  <c r="A316" i="16"/>
  <c r="A312" i="16"/>
  <c r="A311" i="16"/>
  <c r="A318" i="16"/>
  <c r="A315" i="16"/>
  <c r="A313" i="16"/>
  <c r="B310" i="16"/>
  <c r="B318" i="16"/>
  <c r="B317" i="16"/>
  <c r="B312" i="16"/>
  <c r="B316" i="16"/>
  <c r="B311" i="16"/>
  <c r="B315" i="16"/>
  <c r="B314" i="16"/>
  <c r="B313" i="16"/>
  <c r="A273" i="16"/>
  <c r="A270" i="16"/>
  <c r="A271" i="16"/>
  <c r="A276" i="16"/>
  <c r="A274" i="16"/>
  <c r="B270" i="16"/>
  <c r="A272" i="16"/>
  <c r="B271" i="16"/>
  <c r="B272" i="16"/>
  <c r="B273" i="16"/>
  <c r="B274" i="16"/>
  <c r="B276" i="16"/>
  <c r="B275" i="16"/>
  <c r="A269" i="16"/>
  <c r="A220" i="16"/>
  <c r="A224" i="16"/>
  <c r="A223" i="16"/>
  <c r="A226" i="16"/>
  <c r="A227" i="16"/>
  <c r="A238" i="16"/>
  <c r="A221" i="16"/>
  <c r="A236" i="16"/>
  <c r="A228" i="16"/>
  <c r="A222" i="16"/>
  <c r="A235" i="16"/>
  <c r="A233" i="16"/>
  <c r="A225" i="16"/>
  <c r="A237" i="16"/>
  <c r="A234" i="16"/>
  <c r="A229" i="16"/>
  <c r="A231" i="16"/>
  <c r="A232" i="16"/>
  <c r="A230" i="16"/>
  <c r="B220" i="16"/>
  <c r="B233" i="16"/>
  <c r="B231" i="16"/>
  <c r="B224" i="16"/>
  <c r="B222" i="16"/>
  <c r="B229" i="16"/>
  <c r="B238" i="16"/>
  <c r="B227" i="16"/>
  <c r="B225" i="16"/>
  <c r="B235" i="16"/>
  <c r="B223" i="16"/>
  <c r="B237" i="16"/>
  <c r="B226" i="16"/>
  <c r="B236" i="16"/>
  <c r="B232" i="16"/>
  <c r="B230" i="16"/>
  <c r="B228" i="16"/>
  <c r="B234" i="16"/>
  <c r="B221" i="16"/>
  <c r="A45" i="16"/>
  <c r="A59" i="16"/>
  <c r="A56" i="16"/>
  <c r="A54" i="16"/>
  <c r="A52" i="16"/>
  <c r="A50" i="16"/>
  <c r="A48" i="16"/>
  <c r="A51" i="16"/>
  <c r="A49" i="16"/>
  <c r="A57" i="16"/>
  <c r="A47" i="16"/>
  <c r="A60" i="16"/>
  <c r="A46" i="16"/>
  <c r="A55" i="16"/>
  <c r="A58" i="16"/>
  <c r="A53" i="16"/>
  <c r="B45" i="16"/>
  <c r="B60" i="16"/>
  <c r="B55" i="16"/>
  <c r="B49" i="16"/>
  <c r="B56" i="16"/>
  <c r="B48" i="16"/>
  <c r="B58" i="16"/>
  <c r="B54" i="16"/>
  <c r="B57" i="16"/>
  <c r="B50" i="16"/>
  <c r="B53" i="16"/>
  <c r="B46" i="16"/>
  <c r="B47" i="16"/>
  <c r="B51" i="16"/>
  <c r="B59" i="16"/>
  <c r="B52" i="16"/>
  <c r="B19" i="19"/>
  <c r="B48" i="19"/>
  <c r="B27" i="19"/>
  <c r="B33" i="19"/>
  <c r="B86" i="19"/>
  <c r="B62" i="19"/>
  <c r="B34" i="19"/>
  <c r="B88" i="19"/>
  <c r="B36" i="19"/>
  <c r="B66" i="19"/>
  <c r="B81" i="19"/>
  <c r="B46" i="19"/>
  <c r="B70" i="19"/>
  <c r="B45" i="19"/>
  <c r="B54" i="19"/>
  <c r="B83" i="19"/>
  <c r="B52" i="19"/>
  <c r="B75" i="19"/>
  <c r="B29" i="19"/>
  <c r="B49" i="19"/>
  <c r="B77" i="19"/>
  <c r="B57" i="19"/>
  <c r="B65" i="19"/>
  <c r="B32" i="19"/>
  <c r="B80" i="19"/>
  <c r="B38" i="19"/>
  <c r="B69" i="19"/>
  <c r="B76" i="19"/>
  <c r="B31" i="19"/>
  <c r="B30" i="19"/>
  <c r="B47" i="19"/>
  <c r="B22" i="19"/>
  <c r="B67" i="19"/>
  <c r="B74" i="19"/>
  <c r="B25" i="19"/>
  <c r="B60" i="19"/>
  <c r="B90" i="19"/>
  <c r="B78" i="19"/>
  <c r="B85" i="19"/>
  <c r="B51" i="19"/>
  <c r="B20" i="19"/>
  <c r="B44" i="19"/>
  <c r="B35" i="19"/>
  <c r="B71" i="19"/>
  <c r="B55" i="19"/>
  <c r="B28" i="19"/>
  <c r="B58" i="19"/>
  <c r="B72" i="19"/>
  <c r="B53" i="19"/>
  <c r="B37" i="19"/>
  <c r="B68" i="19"/>
  <c r="B41" i="19"/>
  <c r="B82" i="19"/>
  <c r="B42" i="19"/>
  <c r="B56" i="19"/>
  <c r="B64" i="19"/>
  <c r="B26" i="19"/>
  <c r="B40" i="19"/>
  <c r="B21" i="19"/>
  <c r="B63" i="19"/>
  <c r="B89" i="19"/>
  <c r="B24" i="19"/>
  <c r="B84" i="19"/>
  <c r="B39" i="19"/>
  <c r="B61" i="19"/>
  <c r="B73" i="19"/>
  <c r="B87" i="19"/>
  <c r="B59" i="19"/>
  <c r="B43" i="19"/>
  <c r="B50" i="19"/>
  <c r="B23" i="19"/>
  <c r="B79" i="19"/>
  <c r="D19" i="19"/>
  <c r="D34" i="19"/>
  <c r="D72" i="19"/>
  <c r="D66" i="19"/>
  <c r="D55" i="19"/>
  <c r="D90" i="19"/>
  <c r="D49" i="19"/>
  <c r="D40" i="19"/>
  <c r="D64" i="19"/>
  <c r="D39" i="19"/>
  <c r="D24" i="19"/>
  <c r="D82" i="19"/>
  <c r="D48" i="19"/>
  <c r="D71" i="19"/>
  <c r="D31" i="19"/>
  <c r="D54" i="19"/>
  <c r="D52" i="19"/>
  <c r="D65" i="19"/>
  <c r="D79" i="19"/>
  <c r="D23" i="19"/>
  <c r="D78" i="19"/>
  <c r="D22" i="19"/>
  <c r="D32" i="19"/>
  <c r="D47" i="19"/>
  <c r="D86" i="19"/>
  <c r="D77" i="19"/>
  <c r="D53" i="19"/>
  <c r="D63" i="19"/>
  <c r="D46" i="19"/>
  <c r="D70" i="19"/>
  <c r="D45" i="19"/>
  <c r="D83" i="19"/>
  <c r="D30" i="19"/>
  <c r="D61" i="19"/>
  <c r="D38" i="19"/>
  <c r="D75" i="19"/>
  <c r="D67" i="19"/>
  <c r="D36" i="19"/>
  <c r="D28" i="19"/>
  <c r="D29" i="19"/>
  <c r="D85" i="19"/>
  <c r="D43" i="19"/>
  <c r="D51" i="19"/>
  <c r="D26" i="19"/>
  <c r="D50" i="19"/>
  <c r="D76" i="19"/>
  <c r="D69" i="19"/>
  <c r="D74" i="19"/>
  <c r="D35" i="19"/>
  <c r="D57" i="19"/>
  <c r="D81" i="19"/>
  <c r="D60" i="19"/>
  <c r="D37" i="19"/>
  <c r="D58" i="19"/>
  <c r="D41" i="19"/>
  <c r="D80" i="19"/>
  <c r="D44" i="19"/>
  <c r="D21" i="19"/>
  <c r="D42" i="19"/>
  <c r="D62" i="19"/>
  <c r="D59" i="19"/>
  <c r="D84" i="19"/>
  <c r="D73" i="19"/>
  <c r="D56" i="19"/>
  <c r="D33" i="19"/>
  <c r="D27" i="19"/>
  <c r="D68" i="19"/>
  <c r="D88" i="19"/>
  <c r="D25" i="19"/>
  <c r="D89" i="19"/>
  <c r="D20" i="19"/>
  <c r="D87" i="19"/>
  <c r="C22" i="19"/>
  <c r="C35" i="19"/>
  <c r="C47" i="19"/>
  <c r="C57" i="19"/>
  <c r="C90" i="19"/>
  <c r="C67" i="19"/>
  <c r="C19" i="19"/>
  <c r="C31" i="19"/>
  <c r="C88" i="19"/>
  <c r="C58" i="19"/>
  <c r="C82" i="19"/>
  <c r="C53" i="19"/>
  <c r="C72" i="19"/>
  <c r="C26" i="19"/>
  <c r="C75" i="19"/>
  <c r="C66" i="19"/>
  <c r="C21" i="19"/>
  <c r="C56" i="19"/>
  <c r="C89" i="19"/>
  <c r="C28" i="19"/>
  <c r="C54" i="19"/>
  <c r="C50" i="19"/>
  <c r="C68" i="19"/>
  <c r="C40" i="19"/>
  <c r="C73" i="19"/>
  <c r="C83" i="19"/>
  <c r="C34" i="19"/>
  <c r="C78" i="19"/>
  <c r="C24" i="19"/>
  <c r="C41" i="19"/>
  <c r="C86" i="19"/>
  <c r="C27" i="19"/>
  <c r="C81" i="19"/>
  <c r="C62" i="19"/>
  <c r="C85" i="19"/>
  <c r="C25" i="19"/>
  <c r="C65" i="19"/>
  <c r="C30" i="19"/>
  <c r="C84" i="19"/>
  <c r="C87" i="19"/>
  <c r="C49" i="19"/>
  <c r="C61" i="19"/>
  <c r="C36" i="19"/>
  <c r="C71" i="19"/>
  <c r="C79" i="19"/>
  <c r="C69" i="19"/>
  <c r="C33" i="19"/>
  <c r="C29" i="19"/>
  <c r="C46" i="19"/>
  <c r="C55" i="19"/>
  <c r="C70" i="19"/>
  <c r="C37" i="19"/>
  <c r="C80" i="19"/>
  <c r="C60" i="19"/>
  <c r="C77" i="19"/>
  <c r="C39" i="19"/>
  <c r="C32" i="19"/>
  <c r="C52" i="19"/>
  <c r="C64" i="19"/>
  <c r="C44" i="19"/>
  <c r="C45" i="19"/>
  <c r="C23" i="19"/>
  <c r="C20" i="19"/>
  <c r="C48" i="19"/>
  <c r="C59" i="19"/>
  <c r="C76" i="19"/>
  <c r="C74" i="19"/>
  <c r="C51" i="19"/>
  <c r="C63" i="19"/>
  <c r="C42" i="19"/>
  <c r="C43" i="19"/>
  <c r="C38" i="19"/>
  <c r="A19" i="19"/>
  <c r="A44" i="19"/>
  <c r="A77" i="19"/>
  <c r="A68" i="19"/>
  <c r="A24" i="19"/>
  <c r="A43" i="19"/>
  <c r="A20" i="19"/>
  <c r="A50" i="19"/>
  <c r="A73" i="19"/>
  <c r="A88" i="19"/>
  <c r="A78" i="19"/>
  <c r="A31" i="19"/>
  <c r="A28" i="19"/>
  <c r="A45" i="19"/>
  <c r="A52" i="19"/>
  <c r="A87" i="19"/>
  <c r="A34" i="19"/>
  <c r="A71" i="19"/>
  <c r="A74" i="19"/>
  <c r="A59" i="19"/>
  <c r="A54" i="19"/>
  <c r="A81" i="19"/>
  <c r="A22" i="19"/>
  <c r="A47" i="19"/>
  <c r="A70" i="19"/>
  <c r="A36" i="19"/>
  <c r="A63" i="19"/>
  <c r="A64" i="19"/>
  <c r="A55" i="19"/>
  <c r="A65" i="19"/>
  <c r="A48" i="19"/>
  <c r="A89" i="19"/>
  <c r="A79" i="19"/>
  <c r="A26" i="19"/>
  <c r="A39" i="19"/>
  <c r="A86" i="19"/>
  <c r="A58" i="19"/>
  <c r="A42" i="19"/>
  <c r="A84" i="19"/>
  <c r="A80" i="19"/>
  <c r="A83" i="19"/>
  <c r="A72" i="19"/>
  <c r="A21" i="19"/>
  <c r="A66" i="19"/>
  <c r="A57" i="19"/>
  <c r="A56" i="19"/>
  <c r="A62" i="19"/>
  <c r="A85" i="19"/>
  <c r="A41" i="19"/>
  <c r="A69" i="19"/>
  <c r="A23" i="19"/>
  <c r="A37" i="19"/>
  <c r="A33" i="19"/>
  <c r="A49" i="19"/>
  <c r="A40" i="19"/>
  <c r="A29" i="19"/>
  <c r="A90" i="19"/>
  <c r="A32" i="19"/>
  <c r="A25" i="19"/>
  <c r="A75" i="19"/>
  <c r="A82" i="19"/>
  <c r="A46" i="19"/>
  <c r="A76" i="19"/>
  <c r="A27" i="19"/>
  <c r="A51" i="19"/>
  <c r="A53" i="19"/>
  <c r="A30" i="19"/>
  <c r="A67" i="19"/>
  <c r="A61" i="19"/>
  <c r="A38" i="19"/>
  <c r="A35" i="19"/>
  <c r="A60" i="19"/>
  <c r="A292" i="16"/>
  <c r="A291" i="16"/>
  <c r="A288" i="16"/>
  <c r="A289" i="16"/>
  <c r="B291" i="16"/>
  <c r="B292" i="16"/>
  <c r="B288" i="16"/>
  <c r="B289" i="16"/>
  <c r="A197" i="16"/>
  <c r="A200" i="16"/>
  <c r="A199" i="16"/>
  <c r="A198" i="16"/>
  <c r="B198" i="16"/>
  <c r="B197" i="16"/>
  <c r="B199" i="16"/>
  <c r="B200" i="16"/>
  <c r="A202" i="16"/>
  <c r="A203" i="16"/>
  <c r="B320" i="16"/>
  <c r="B321" i="16"/>
  <c r="B322" i="16"/>
  <c r="B323" i="16"/>
  <c r="B324" i="16"/>
  <c r="A320" i="16"/>
  <c r="A321" i="16"/>
  <c r="A322" i="16"/>
  <c r="A323" i="16"/>
  <c r="A324" i="16"/>
  <c r="B325" i="16"/>
  <c r="B326" i="16"/>
  <c r="B327" i="16"/>
  <c r="B328" i="16"/>
  <c r="B329" i="16"/>
  <c r="A325" i="16"/>
  <c r="A326" i="16"/>
  <c r="A327" i="16"/>
  <c r="A328" i="16"/>
  <c r="A329" i="16"/>
  <c r="A293" i="16"/>
  <c r="A295" i="16"/>
  <c r="A305" i="16"/>
  <c r="A302" i="16"/>
  <c r="A300" i="16"/>
  <c r="A299" i="16"/>
  <c r="A298" i="16"/>
  <c r="A303" i="16"/>
  <c r="A294" i="16"/>
  <c r="A304" i="16"/>
  <c r="A297" i="16"/>
  <c r="A301" i="16"/>
  <c r="A296" i="16"/>
  <c r="B293" i="16"/>
  <c r="B300" i="16"/>
  <c r="B295" i="16"/>
  <c r="B299" i="16"/>
  <c r="B294" i="16"/>
  <c r="B302" i="16"/>
  <c r="B301" i="16"/>
  <c r="B298" i="16"/>
  <c r="B297" i="16"/>
  <c r="B296" i="16"/>
  <c r="B303" i="16"/>
  <c r="B304" i="16"/>
  <c r="A262" i="16"/>
  <c r="A266" i="16"/>
  <c r="A264" i="16"/>
  <c r="A268" i="16"/>
  <c r="A265" i="16"/>
  <c r="A267" i="16"/>
  <c r="A263" i="16"/>
  <c r="B262" i="16"/>
  <c r="B268" i="16"/>
  <c r="B267" i="16"/>
  <c r="B266" i="16"/>
  <c r="B265" i="16"/>
  <c r="B264" i="16"/>
  <c r="B263" i="16"/>
  <c r="A239" i="16"/>
  <c r="A241" i="16"/>
  <c r="A240" i="16"/>
  <c r="A245" i="16"/>
  <c r="A244" i="16"/>
  <c r="A243" i="16"/>
  <c r="A242" i="16"/>
  <c r="B239" i="16"/>
  <c r="B241" i="16"/>
  <c r="B240" i="16"/>
  <c r="B243" i="16"/>
  <c r="B245" i="16"/>
  <c r="B244" i="16"/>
  <c r="B242" i="16"/>
  <c r="B205" i="16"/>
  <c r="B206" i="16"/>
  <c r="B207" i="16"/>
  <c r="A205" i="16"/>
  <c r="A206" i="16"/>
  <c r="A207" i="16"/>
  <c r="A345" i="16"/>
  <c r="A42" i="16"/>
  <c r="A41" i="16"/>
  <c r="B41" i="16"/>
  <c r="B42" i="16"/>
  <c r="B346" i="16"/>
  <c r="A9" i="16"/>
  <c r="A13" i="16"/>
  <c r="A12" i="16"/>
  <c r="A11" i="16"/>
  <c r="A16" i="16"/>
  <c r="A18" i="16"/>
  <c r="A8" i="16"/>
  <c r="A10" i="16"/>
  <c r="A15" i="16"/>
  <c r="A17" i="16"/>
  <c r="A7" i="16"/>
  <c r="A14" i="16"/>
  <c r="B8" i="16"/>
  <c r="B7" i="16"/>
  <c r="B17" i="16"/>
  <c r="B15" i="16"/>
  <c r="B9" i="16"/>
  <c r="B14" i="16"/>
  <c r="B16" i="16"/>
  <c r="B13" i="16"/>
  <c r="B12" i="16"/>
  <c r="B11" i="16"/>
  <c r="B18" i="16"/>
  <c r="B10" i="16"/>
  <c r="J13" i="97"/>
  <c r="J14" i="97"/>
  <c r="J2" i="97"/>
  <c r="B10" i="97" s="1" a="1"/>
  <c r="B10" i="97" s="1"/>
  <c r="J4" i="97"/>
  <c r="J3" i="97"/>
  <c r="B11" i="97" s="1" a="1"/>
  <c r="B11" i="97" s="1"/>
  <c r="A178" i="16"/>
  <c r="A98" i="16"/>
  <c r="K8" i="97"/>
  <c r="K5" i="97"/>
  <c r="K21" i="97"/>
  <c r="K18" i="97"/>
  <c r="K15" i="97"/>
  <c r="K4" i="97"/>
  <c r="K20" i="97"/>
  <c r="K17" i="97"/>
  <c r="K14" i="97"/>
  <c r="K11" i="97"/>
  <c r="K16" i="97"/>
  <c r="K13" i="97"/>
  <c r="K10" i="97"/>
  <c r="K7" i="97"/>
  <c r="K2" i="97"/>
  <c r="K12" i="97"/>
  <c r="K9" i="97"/>
  <c r="K6" i="97"/>
  <c r="K3" i="97"/>
  <c r="K19" i="97"/>
  <c r="J17" i="97"/>
  <c r="J18" i="97"/>
  <c r="J19" i="97"/>
  <c r="J22" i="97"/>
  <c r="J23" i="97"/>
  <c r="J24" i="97"/>
  <c r="A64" i="16"/>
  <c r="A67" i="16"/>
  <c r="A66" i="16"/>
  <c r="A65" i="16"/>
  <c r="B64" i="16"/>
  <c r="B67" i="16"/>
  <c r="B66" i="16"/>
  <c r="B65" i="16"/>
  <c r="A99" i="16"/>
  <c r="B99" i="16"/>
  <c r="B98" i="16"/>
  <c r="A172" i="16"/>
  <c r="A173" i="16"/>
  <c r="B172" i="16"/>
  <c r="B173" i="16"/>
  <c r="A170" i="16"/>
  <c r="A171" i="16"/>
  <c r="B170" i="16"/>
  <c r="B171" i="16"/>
  <c r="A168" i="16"/>
  <c r="A169" i="16"/>
  <c r="B168" i="16"/>
  <c r="B169" i="16"/>
  <c r="A180" i="16"/>
  <c r="A185" i="16"/>
  <c r="A186" i="16"/>
  <c r="B185" i="16"/>
  <c r="B186" i="16"/>
  <c r="A183" i="16"/>
  <c r="A184" i="16"/>
  <c r="B183" i="16"/>
  <c r="B184" i="16"/>
  <c r="A181" i="16"/>
  <c r="A182" i="16"/>
  <c r="B181" i="16"/>
  <c r="B182" i="16"/>
  <c r="B178" i="16"/>
  <c r="B179" i="16"/>
  <c r="B180" i="16"/>
  <c r="A306" i="16"/>
  <c r="A307" i="16"/>
  <c r="A309" i="16"/>
  <c r="A308" i="16"/>
  <c r="B306" i="16"/>
  <c r="B309" i="16"/>
  <c r="B308" i="16"/>
  <c r="B307" i="16"/>
  <c r="A284" i="16"/>
  <c r="A285" i="16"/>
  <c r="A287" i="16"/>
  <c r="A286" i="16"/>
  <c r="B284" i="16"/>
  <c r="B287" i="16"/>
  <c r="B286" i="16"/>
  <c r="B285" i="16"/>
  <c r="A277" i="16"/>
  <c r="A282" i="16"/>
  <c r="A278" i="16"/>
  <c r="A281" i="16"/>
  <c r="A280" i="16"/>
  <c r="A283" i="16"/>
  <c r="A279" i="16"/>
  <c r="B277" i="16"/>
  <c r="B282" i="16"/>
  <c r="B278" i="16"/>
  <c r="B281" i="16"/>
  <c r="B280" i="16"/>
  <c r="B283" i="16"/>
  <c r="B279" i="16"/>
  <c r="A249" i="16"/>
  <c r="A260" i="16"/>
  <c r="A256" i="16"/>
  <c r="A252" i="16"/>
  <c r="A261" i="16"/>
  <c r="A257" i="16"/>
  <c r="A253" i="16"/>
  <c r="A258" i="16"/>
  <c r="A254" i="16"/>
  <c r="A250" i="16"/>
  <c r="A259" i="16"/>
  <c r="A255" i="16"/>
  <c r="A251" i="16"/>
  <c r="B249" i="16"/>
  <c r="B260" i="16"/>
  <c r="B256" i="16"/>
  <c r="B252" i="16"/>
  <c r="B261" i="16"/>
  <c r="B257" i="16"/>
  <c r="B253" i="16"/>
  <c r="B258" i="16"/>
  <c r="B254" i="16"/>
  <c r="B250" i="16"/>
  <c r="B259" i="16"/>
  <c r="B255" i="16"/>
  <c r="B251" i="16"/>
  <c r="A246" i="16"/>
  <c r="A248" i="16"/>
  <c r="A247" i="16"/>
  <c r="B246" i="16"/>
  <c r="B248" i="16"/>
  <c r="B247" i="16"/>
  <c r="A210" i="16"/>
  <c r="A217" i="16"/>
  <c r="A213" i="16"/>
  <c r="A218" i="16"/>
  <c r="A214" i="16"/>
  <c r="A219" i="16"/>
  <c r="A215" i="16"/>
  <c r="A211" i="16"/>
  <c r="A216" i="16"/>
  <c r="A212" i="16"/>
  <c r="B210" i="16"/>
  <c r="B219" i="16"/>
  <c r="B215" i="16"/>
  <c r="B211" i="16"/>
  <c r="B216" i="16"/>
  <c r="B212" i="16"/>
  <c r="B217" i="16"/>
  <c r="B213" i="16"/>
  <c r="B218" i="16"/>
  <c r="B214" i="16"/>
  <c r="A208" i="16"/>
  <c r="A209" i="16"/>
  <c r="B208" i="16"/>
  <c r="B209" i="16"/>
  <c r="B189" i="16"/>
  <c r="A190" i="16"/>
  <c r="B190" i="16"/>
  <c r="B201" i="16"/>
  <c r="B202" i="16"/>
  <c r="B203" i="16"/>
  <c r="A189" i="16"/>
  <c r="B191" i="16"/>
  <c r="B196" i="16"/>
  <c r="B192" i="16"/>
  <c r="B193" i="16"/>
  <c r="B194" i="16"/>
  <c r="B195" i="16"/>
  <c r="A191" i="16"/>
  <c r="A194" i="16"/>
  <c r="A195" i="16"/>
  <c r="A196" i="16"/>
  <c r="A192" i="16"/>
  <c r="A193" i="16"/>
  <c r="A156" i="16"/>
  <c r="A157" i="16"/>
  <c r="B156" i="16"/>
  <c r="B157" i="16"/>
  <c r="A154" i="16"/>
  <c r="A155" i="16"/>
  <c r="B154" i="16"/>
  <c r="B155" i="16"/>
  <c r="A151" i="16"/>
  <c r="A153" i="16"/>
  <c r="A152" i="16"/>
  <c r="B152" i="16"/>
  <c r="B153" i="16"/>
  <c r="B151" i="16"/>
  <c r="A106" i="16"/>
  <c r="A107" i="16"/>
  <c r="B106" i="16"/>
  <c r="B107" i="16"/>
  <c r="A104" i="16"/>
  <c r="A105" i="16"/>
  <c r="B104" i="16"/>
  <c r="B105" i="16"/>
  <c r="B77" i="16"/>
  <c r="B82" i="16"/>
  <c r="B78" i="16"/>
  <c r="B81" i="16"/>
  <c r="B80" i="16"/>
  <c r="B83" i="16"/>
  <c r="B79" i="16"/>
  <c r="A77" i="16"/>
  <c r="A80" i="16"/>
  <c r="A83" i="16"/>
  <c r="A79" i="16"/>
  <c r="A82" i="16"/>
  <c r="A78" i="16"/>
  <c r="A81" i="16"/>
  <c r="A23" i="16"/>
  <c r="A24" i="16"/>
  <c r="B27" i="16"/>
  <c r="B36" i="16"/>
  <c r="B32" i="16"/>
  <c r="B28" i="16"/>
  <c r="B35" i="16"/>
  <c r="B31" i="16"/>
  <c r="B34" i="16"/>
  <c r="B30" i="16"/>
  <c r="B37" i="16"/>
  <c r="B33" i="16"/>
  <c r="B29" i="16"/>
  <c r="A27" i="16"/>
  <c r="A36" i="16"/>
  <c r="A32" i="16"/>
  <c r="A28" i="16"/>
  <c r="A35" i="16"/>
  <c r="A31" i="16"/>
  <c r="A34" i="16"/>
  <c r="A30" i="16"/>
  <c r="A37" i="16"/>
  <c r="A33" i="16"/>
  <c r="A29" i="16"/>
  <c r="B23" i="16"/>
  <c r="B24" i="16"/>
  <c r="L343" i="16"/>
  <c r="L19" i="16" s="1"/>
  <c r="F345" i="16"/>
  <c r="F344" i="16" s="1"/>
  <c r="F343" i="16" s="1"/>
  <c r="I70" i="96"/>
  <c r="I75" i="96"/>
  <c r="I77" i="96"/>
  <c r="I74" i="96"/>
  <c r="C27" i="96" s="1"/>
  <c r="I71" i="96"/>
  <c r="I73" i="96"/>
  <c r="I76" i="96"/>
  <c r="I72" i="96"/>
  <c r="I58" i="96"/>
  <c r="I61" i="96"/>
  <c r="I64" i="96"/>
  <c r="I67" i="96"/>
  <c r="I59" i="96"/>
  <c r="I62" i="96"/>
  <c r="I65" i="96"/>
  <c r="I68" i="96"/>
  <c r="I60" i="96"/>
  <c r="I63" i="96"/>
  <c r="I66" i="96"/>
  <c r="F58" i="96"/>
  <c r="F67" i="96"/>
  <c r="F63" i="96"/>
  <c r="F59" i="96"/>
  <c r="F66" i="96"/>
  <c r="F62" i="96"/>
  <c r="F65" i="96"/>
  <c r="F61" i="96"/>
  <c r="F68" i="96"/>
  <c r="F64" i="96"/>
  <c r="F60" i="96"/>
  <c r="C43" i="96"/>
  <c r="A43" i="96" s="1" a="1"/>
  <c r="A43" i="96" s="1"/>
  <c r="C52" i="96"/>
  <c r="C48" i="96"/>
  <c r="C44" i="96"/>
  <c r="C53" i="96"/>
  <c r="C49" i="96"/>
  <c r="C45" i="96"/>
  <c r="C54" i="96"/>
  <c r="C50" i="96"/>
  <c r="C46" i="96"/>
  <c r="C55" i="96"/>
  <c r="C51" i="96"/>
  <c r="C47" i="96"/>
  <c r="A58" i="96"/>
  <c r="E58" i="96" s="1"/>
  <c r="A65" i="96"/>
  <c r="G65" i="96" s="1" a="1"/>
  <c r="A61" i="96"/>
  <c r="G61" i="96" s="1" a="1"/>
  <c r="A68" i="96"/>
  <c r="G68" i="96" s="1" a="1"/>
  <c r="A64" i="96"/>
  <c r="G64" i="96" s="1" a="1"/>
  <c r="A60" i="96"/>
  <c r="G60" i="96" s="1" a="1"/>
  <c r="A67" i="96"/>
  <c r="G67" i="96" s="1" a="1"/>
  <c r="A63" i="96"/>
  <c r="G63" i="96" s="1" a="1"/>
  <c r="A59" i="96"/>
  <c r="G59" i="96" s="1" a="1"/>
  <c r="A66" i="96"/>
  <c r="G66" i="96" s="1" a="1"/>
  <c r="A62" i="96"/>
  <c r="G62" i="96" s="1" a="1"/>
  <c r="E44" i="96"/>
  <c r="E53" i="96"/>
  <c r="E49" i="96"/>
  <c r="E45" i="96"/>
  <c r="E54" i="96"/>
  <c r="E50" i="96"/>
  <c r="E46" i="96"/>
  <c r="E55" i="96"/>
  <c r="E51" i="96"/>
  <c r="E47" i="96"/>
  <c r="E43" i="96"/>
  <c r="E52" i="96"/>
  <c r="E48" i="96"/>
  <c r="A70" i="96"/>
  <c r="E70" i="96" s="1"/>
  <c r="A77" i="96"/>
  <c r="E77" i="96" s="1"/>
  <c r="A73" i="96"/>
  <c r="E73" i="96" s="1"/>
  <c r="A76" i="96"/>
  <c r="E76" i="96" s="1"/>
  <c r="A72" i="96"/>
  <c r="E72" i="96" s="1"/>
  <c r="A75" i="96"/>
  <c r="E75" i="96" s="1"/>
  <c r="A71" i="96"/>
  <c r="E71" i="96" s="1"/>
  <c r="A74" i="96"/>
  <c r="E74" i="96" s="1"/>
  <c r="A146" i="16"/>
  <c r="A147" i="16"/>
  <c r="A148" i="16"/>
  <c r="B146" i="16"/>
  <c r="B147" i="16"/>
  <c r="B148" i="16"/>
  <c r="B142" i="16"/>
  <c r="B143" i="16"/>
  <c r="B144" i="16"/>
  <c r="A142" i="16"/>
  <c r="A143" i="16"/>
  <c r="A144" i="16"/>
  <c r="A114" i="16"/>
  <c r="A121" i="16"/>
  <c r="A117" i="16"/>
  <c r="A122" i="16"/>
  <c r="A118" i="16"/>
  <c r="A123" i="16"/>
  <c r="A119" i="16"/>
  <c r="A115" i="16"/>
  <c r="A120" i="16"/>
  <c r="A116" i="16"/>
  <c r="B114" i="16"/>
  <c r="B123" i="16"/>
  <c r="B119" i="16"/>
  <c r="B115" i="16"/>
  <c r="B120" i="16"/>
  <c r="B116" i="16"/>
  <c r="B121" i="16"/>
  <c r="B117" i="16"/>
  <c r="B122" i="16"/>
  <c r="B118" i="16"/>
  <c r="A101" i="16"/>
  <c r="A102" i="16"/>
  <c r="A103" i="16"/>
  <c r="B101" i="16"/>
  <c r="B102" i="16"/>
  <c r="B103" i="16"/>
  <c r="A87" i="16"/>
  <c r="A94" i="16"/>
  <c r="A90" i="16"/>
  <c r="A95" i="16"/>
  <c r="A91" i="16"/>
  <c r="A96" i="16"/>
  <c r="A92" i="16"/>
  <c r="A88" i="16"/>
  <c r="A93" i="16"/>
  <c r="A89" i="16"/>
  <c r="B87" i="16"/>
  <c r="B96" i="16"/>
  <c r="B92" i="16"/>
  <c r="B88" i="16"/>
  <c r="B93" i="16"/>
  <c r="B89" i="16"/>
  <c r="B94" i="16"/>
  <c r="B90" i="16"/>
  <c r="B95" i="16"/>
  <c r="B91" i="16"/>
  <c r="A126" i="16"/>
  <c r="B127" i="16"/>
  <c r="A110" i="16"/>
  <c r="A111" i="16"/>
  <c r="B110" i="16"/>
  <c r="B111" i="16"/>
  <c r="B62" i="96" a="1"/>
  <c r="B47" i="96" a="1"/>
  <c r="B58" i="96"/>
  <c r="E22" i="97" a="1"/>
  <c r="B65" i="96" a="1"/>
  <c r="E11" i="97" a="1"/>
  <c r="B46" i="96" a="1"/>
  <c r="B60" i="96" a="1"/>
  <c r="B43" i="96" a="1"/>
  <c r="B55" i="96" a="1"/>
  <c r="B54" i="96" a="1"/>
  <c r="B67" i="96" a="1"/>
  <c r="B52" i="96" a="1"/>
  <c r="B64" i="96" a="1"/>
  <c r="B66" i="96" a="1"/>
  <c r="B50" i="96" a="1"/>
  <c r="B53" i="96" a="1"/>
  <c r="B45" i="96" a="1"/>
  <c r="E10" i="97" a="1"/>
  <c r="B48" i="96" a="1"/>
  <c r="B51" i="96" a="1"/>
  <c r="B44" i="96" a="1"/>
  <c r="E23" i="97" a="1"/>
  <c r="B61" i="96" a="1"/>
  <c r="B49" i="96" a="1"/>
  <c r="E36" i="97" a="1"/>
  <c r="B68" i="96" a="1"/>
  <c r="E28" i="97" a="1"/>
  <c r="E27" i="97" a="1"/>
  <c r="E35" i="97" a="1"/>
  <c r="B59" i="96" a="1"/>
  <c r="B63" i="96" a="1"/>
  <c r="M89" i="19" l="1"/>
  <c r="I89" i="19"/>
  <c r="F89" i="19"/>
  <c r="L89" i="19"/>
  <c r="H89" i="19"/>
  <c r="J89" i="19"/>
  <c r="K89" i="19"/>
  <c r="M87" i="19"/>
  <c r="I87" i="19"/>
  <c r="L87" i="19"/>
  <c r="H87" i="19"/>
  <c r="K87" i="19"/>
  <c r="F87" i="19"/>
  <c r="J87" i="19"/>
  <c r="M88" i="19"/>
  <c r="I88" i="19"/>
  <c r="L88" i="19"/>
  <c r="H88" i="19"/>
  <c r="K88" i="19"/>
  <c r="F88" i="19"/>
  <c r="J88" i="19"/>
  <c r="M90" i="19"/>
  <c r="I90" i="19"/>
  <c r="L90" i="19"/>
  <c r="H90" i="19"/>
  <c r="F90" i="19"/>
  <c r="K90" i="19"/>
  <c r="J90" i="19"/>
  <c r="L86" i="19"/>
  <c r="J86" i="19"/>
  <c r="H86" i="19"/>
  <c r="M86" i="19"/>
  <c r="K86" i="19"/>
  <c r="I86" i="19"/>
  <c r="F86" i="19"/>
  <c r="M85" i="19"/>
  <c r="K85" i="19"/>
  <c r="I85" i="19"/>
  <c r="F85" i="19"/>
  <c r="L85" i="19"/>
  <c r="J85" i="19"/>
  <c r="H85" i="19"/>
  <c r="M83" i="19"/>
  <c r="L83" i="19"/>
  <c r="J83" i="19"/>
  <c r="F83" i="19"/>
  <c r="K83" i="19"/>
  <c r="H83" i="19"/>
  <c r="I83" i="19"/>
  <c r="K82" i="19"/>
  <c r="I82" i="19"/>
  <c r="H82" i="19"/>
  <c r="M82" i="19"/>
  <c r="L82" i="19"/>
  <c r="J82" i="19"/>
  <c r="F82" i="19"/>
  <c r="M84" i="19"/>
  <c r="K84" i="19"/>
  <c r="H84" i="19"/>
  <c r="L84" i="19"/>
  <c r="J84" i="19"/>
  <c r="I84" i="19"/>
  <c r="F84" i="19"/>
  <c r="I80" i="19"/>
  <c r="M81" i="19"/>
  <c r="K81" i="19"/>
  <c r="I81" i="19"/>
  <c r="M80" i="19"/>
  <c r="K80" i="19"/>
  <c r="F80" i="19"/>
  <c r="F81" i="19"/>
  <c r="J81" i="19"/>
  <c r="L80" i="19"/>
  <c r="H81" i="19"/>
  <c r="L81" i="19"/>
  <c r="H80" i="19"/>
  <c r="J80" i="19"/>
  <c r="F79" i="19"/>
  <c r="M79" i="19"/>
  <c r="K79" i="19"/>
  <c r="I79" i="19"/>
  <c r="J79" i="19"/>
  <c r="H79" i="19"/>
  <c r="L79" i="19"/>
  <c r="F77" i="19"/>
  <c r="J77" i="19"/>
  <c r="I77" i="19"/>
  <c r="M77" i="19"/>
  <c r="H77" i="19"/>
  <c r="L77" i="19"/>
  <c r="K77" i="19"/>
  <c r="I78" i="19"/>
  <c r="K78" i="19"/>
  <c r="F78" i="19"/>
  <c r="M78" i="19"/>
  <c r="J78" i="19"/>
  <c r="L78" i="19"/>
  <c r="H78" i="19"/>
  <c r="I56" i="19"/>
  <c r="I58" i="19"/>
  <c r="I62" i="19"/>
  <c r="I54" i="19"/>
  <c r="I55" i="19"/>
  <c r="I60" i="19"/>
  <c r="I53" i="19"/>
  <c r="I64" i="19"/>
  <c r="I61" i="19"/>
  <c r="I57" i="19"/>
  <c r="I59" i="19"/>
  <c r="I63" i="19"/>
  <c r="L73" i="19"/>
  <c r="F73" i="19"/>
  <c r="J73" i="19"/>
  <c r="I73" i="19"/>
  <c r="M73" i="19"/>
  <c r="H73" i="19"/>
  <c r="K73" i="19"/>
  <c r="J72" i="19"/>
  <c r="M72" i="19"/>
  <c r="H72" i="19"/>
  <c r="I72" i="19"/>
  <c r="L72" i="19"/>
  <c r="K72" i="19"/>
  <c r="F72" i="19"/>
  <c r="I76" i="19"/>
  <c r="F76" i="19"/>
  <c r="H76" i="19"/>
  <c r="L76" i="19"/>
  <c r="K76" i="19"/>
  <c r="J76" i="19"/>
  <c r="M76" i="19"/>
  <c r="M74" i="19"/>
  <c r="H74" i="19"/>
  <c r="I74" i="19"/>
  <c r="L74" i="19"/>
  <c r="K74" i="19"/>
  <c r="F74" i="19"/>
  <c r="J74" i="19"/>
  <c r="J75" i="19"/>
  <c r="M75" i="19"/>
  <c r="H75" i="19"/>
  <c r="K75" i="19"/>
  <c r="L75" i="19"/>
  <c r="I75" i="19"/>
  <c r="F75" i="19"/>
  <c r="M70" i="19"/>
  <c r="F70" i="19"/>
  <c r="L70" i="19"/>
  <c r="I70" i="19"/>
  <c r="H70" i="19"/>
  <c r="K70" i="19"/>
  <c r="J70" i="19"/>
  <c r="M71" i="19"/>
  <c r="F71" i="19"/>
  <c r="L71" i="19"/>
  <c r="I71" i="19"/>
  <c r="K71" i="19"/>
  <c r="H71" i="19"/>
  <c r="J71" i="19"/>
  <c r="G22" i="97"/>
  <c r="H22" i="97"/>
  <c r="G11" i="97"/>
  <c r="H11" i="97"/>
  <c r="F11" i="97"/>
  <c r="F10" i="97"/>
  <c r="G10" i="97"/>
  <c r="H10" i="97"/>
  <c r="H23" i="97"/>
  <c r="F23" i="97"/>
  <c r="G23" i="97"/>
  <c r="F22" i="97"/>
  <c r="L56" i="19"/>
  <c r="H56" i="19"/>
  <c r="K56" i="19"/>
  <c r="F56" i="19"/>
  <c r="J56" i="19"/>
  <c r="M56" i="19"/>
  <c r="K30" i="19"/>
  <c r="J30" i="19"/>
  <c r="M30" i="19"/>
  <c r="I30" i="19"/>
  <c r="L30" i="19"/>
  <c r="H30" i="19"/>
  <c r="F30" i="19"/>
  <c r="M25" i="19"/>
  <c r="I25" i="19"/>
  <c r="L25" i="19"/>
  <c r="H25" i="19"/>
  <c r="K25" i="19"/>
  <c r="F25" i="19"/>
  <c r="J25" i="19"/>
  <c r="M50" i="19"/>
  <c r="I50" i="19"/>
  <c r="L50" i="19"/>
  <c r="H50" i="19"/>
  <c r="K50" i="19"/>
  <c r="F50" i="19"/>
  <c r="J50" i="19"/>
  <c r="J51" i="19"/>
  <c r="M51" i="19"/>
  <c r="I51" i="19"/>
  <c r="L51" i="19"/>
  <c r="H51" i="19"/>
  <c r="K51" i="19"/>
  <c r="F51" i="19"/>
  <c r="L31" i="19"/>
  <c r="H31" i="19"/>
  <c r="K31" i="19"/>
  <c r="F31" i="19"/>
  <c r="J31" i="19"/>
  <c r="M31" i="19"/>
  <c r="I31" i="19"/>
  <c r="J35" i="19"/>
  <c r="M35" i="19"/>
  <c r="I35" i="19"/>
  <c r="L35" i="19"/>
  <c r="H35" i="19"/>
  <c r="K35" i="19"/>
  <c r="F35" i="19"/>
  <c r="L47" i="19"/>
  <c r="H47" i="19"/>
  <c r="F47" i="19"/>
  <c r="K47" i="19"/>
  <c r="J47" i="19"/>
  <c r="M47" i="19"/>
  <c r="I47" i="19"/>
  <c r="M42" i="19"/>
  <c r="I42" i="19"/>
  <c r="L42" i="19"/>
  <c r="H42" i="19"/>
  <c r="F42" i="19"/>
  <c r="K42" i="19"/>
  <c r="J42" i="19"/>
  <c r="K61" i="19"/>
  <c r="J61" i="19"/>
  <c r="M61" i="19"/>
  <c r="L61" i="19"/>
  <c r="H61" i="19"/>
  <c r="F61" i="19"/>
  <c r="K69" i="19"/>
  <c r="F69" i="19"/>
  <c r="J69" i="19"/>
  <c r="M69" i="19"/>
  <c r="I69" i="19"/>
  <c r="L69" i="19"/>
  <c r="H69" i="19"/>
  <c r="L48" i="19"/>
  <c r="H48" i="19"/>
  <c r="K48" i="19"/>
  <c r="F48" i="19"/>
  <c r="J48" i="19"/>
  <c r="M48" i="19"/>
  <c r="I48" i="19"/>
  <c r="K22" i="19"/>
  <c r="F22" i="19"/>
  <c r="J22" i="19"/>
  <c r="M22" i="19"/>
  <c r="I22" i="19"/>
  <c r="L22" i="19"/>
  <c r="H22" i="19"/>
  <c r="M41" i="19"/>
  <c r="I41" i="19"/>
  <c r="L41" i="19"/>
  <c r="H41" i="19"/>
  <c r="K41" i="19"/>
  <c r="F41" i="19"/>
  <c r="J41" i="19"/>
  <c r="L64" i="19"/>
  <c r="K64" i="19"/>
  <c r="F64" i="19"/>
  <c r="J64" i="19"/>
  <c r="M64" i="19"/>
  <c r="H64" i="19"/>
  <c r="K45" i="19"/>
  <c r="J45" i="19"/>
  <c r="M45" i="19"/>
  <c r="I45" i="19"/>
  <c r="L45" i="19"/>
  <c r="H45" i="19"/>
  <c r="F45" i="19"/>
  <c r="J43" i="19"/>
  <c r="M43" i="19"/>
  <c r="I43" i="19"/>
  <c r="L43" i="19"/>
  <c r="H43" i="19"/>
  <c r="K43" i="19"/>
  <c r="F43" i="19"/>
  <c r="L23" i="19"/>
  <c r="H23" i="19"/>
  <c r="K23" i="19"/>
  <c r="F23" i="19"/>
  <c r="J23" i="19"/>
  <c r="M23" i="19"/>
  <c r="I23" i="19"/>
  <c r="M65" i="19"/>
  <c r="I65" i="19"/>
  <c r="L65" i="19"/>
  <c r="H65" i="19"/>
  <c r="F65" i="19"/>
  <c r="K65" i="19"/>
  <c r="J65" i="19"/>
  <c r="K54" i="19"/>
  <c r="F54" i="19"/>
  <c r="J54" i="19"/>
  <c r="M54" i="19"/>
  <c r="L54" i="19"/>
  <c r="H54" i="19"/>
  <c r="J67" i="19"/>
  <c r="M67" i="19"/>
  <c r="I67" i="19"/>
  <c r="F67" i="19"/>
  <c r="L67" i="19"/>
  <c r="H67" i="19"/>
  <c r="K67" i="19"/>
  <c r="M34" i="19"/>
  <c r="I34" i="19"/>
  <c r="L34" i="19"/>
  <c r="H34" i="19"/>
  <c r="K34" i="19"/>
  <c r="F34" i="19"/>
  <c r="J34" i="19"/>
  <c r="J27" i="19"/>
  <c r="M27" i="19"/>
  <c r="I27" i="19"/>
  <c r="L27" i="19"/>
  <c r="H27" i="19"/>
  <c r="K27" i="19"/>
  <c r="F27" i="19"/>
  <c r="K53" i="19"/>
  <c r="F53" i="19"/>
  <c r="J53" i="19"/>
  <c r="M53" i="19"/>
  <c r="L53" i="19"/>
  <c r="H53" i="19"/>
  <c r="L40" i="19"/>
  <c r="H40" i="19"/>
  <c r="K40" i="19"/>
  <c r="F40" i="19"/>
  <c r="J40" i="19"/>
  <c r="M40" i="19"/>
  <c r="I40" i="19"/>
  <c r="J52" i="19"/>
  <c r="M52" i="19"/>
  <c r="I52" i="19"/>
  <c r="L52" i="19"/>
  <c r="H52" i="19"/>
  <c r="K52" i="19"/>
  <c r="F52" i="19"/>
  <c r="L39" i="19"/>
  <c r="H39" i="19"/>
  <c r="K39" i="19"/>
  <c r="F39" i="19"/>
  <c r="J39" i="19"/>
  <c r="M39" i="19"/>
  <c r="I39" i="19"/>
  <c r="M26" i="19"/>
  <c r="I26" i="19"/>
  <c r="L26" i="19"/>
  <c r="H26" i="19"/>
  <c r="F26" i="19"/>
  <c r="K26" i="19"/>
  <c r="J26" i="19"/>
  <c r="K29" i="19"/>
  <c r="J29" i="19"/>
  <c r="M29" i="19"/>
  <c r="I29" i="19"/>
  <c r="L29" i="19"/>
  <c r="H29" i="19"/>
  <c r="F29" i="19"/>
  <c r="J60" i="19"/>
  <c r="M60" i="19"/>
  <c r="L60" i="19"/>
  <c r="H60" i="19"/>
  <c r="K60" i="19"/>
  <c r="F60" i="19"/>
  <c r="F62" i="19"/>
  <c r="K62" i="19"/>
  <c r="J62" i="19"/>
  <c r="M62" i="19"/>
  <c r="L62" i="19"/>
  <c r="H62" i="19"/>
  <c r="M57" i="19"/>
  <c r="L57" i="19"/>
  <c r="H57" i="19"/>
  <c r="K57" i="19"/>
  <c r="F57" i="19"/>
  <c r="J57" i="19"/>
  <c r="J68" i="19"/>
  <c r="M68" i="19"/>
  <c r="I68" i="19"/>
  <c r="L68" i="19"/>
  <c r="H68" i="19"/>
  <c r="K68" i="19"/>
  <c r="F68" i="19"/>
  <c r="K37" i="19"/>
  <c r="F37" i="19"/>
  <c r="J37" i="19"/>
  <c r="M37" i="19"/>
  <c r="I37" i="19"/>
  <c r="L37" i="19"/>
  <c r="H37" i="19"/>
  <c r="J44" i="19"/>
  <c r="M44" i="19"/>
  <c r="I44" i="19"/>
  <c r="L44" i="19"/>
  <c r="H44" i="19"/>
  <c r="K44" i="19"/>
  <c r="F44" i="19"/>
  <c r="K46" i="19"/>
  <c r="J46" i="19"/>
  <c r="M46" i="19"/>
  <c r="I46" i="19"/>
  <c r="L46" i="19"/>
  <c r="H46" i="19"/>
  <c r="F46" i="19"/>
  <c r="L32" i="19"/>
  <c r="H32" i="19"/>
  <c r="K32" i="19"/>
  <c r="F32" i="19"/>
  <c r="J32" i="19"/>
  <c r="M32" i="19"/>
  <c r="I32" i="19"/>
  <c r="J36" i="19"/>
  <c r="M36" i="19"/>
  <c r="I36" i="19"/>
  <c r="L36" i="19"/>
  <c r="H36" i="19"/>
  <c r="K36" i="19"/>
  <c r="F36" i="19"/>
  <c r="K21" i="19"/>
  <c r="F21" i="19"/>
  <c r="J21" i="19"/>
  <c r="M21" i="19"/>
  <c r="I21" i="19"/>
  <c r="L21" i="19"/>
  <c r="H21" i="19"/>
  <c r="M58" i="19"/>
  <c r="L58" i="19"/>
  <c r="H58" i="19"/>
  <c r="F58" i="19"/>
  <c r="K58" i="19"/>
  <c r="J58" i="19"/>
  <c r="F38" i="19"/>
  <c r="K38" i="19"/>
  <c r="J38" i="19"/>
  <c r="M38" i="19"/>
  <c r="I38" i="19"/>
  <c r="L38" i="19"/>
  <c r="H38" i="19"/>
  <c r="L63" i="19"/>
  <c r="H63" i="19"/>
  <c r="F63" i="19"/>
  <c r="K63" i="19"/>
  <c r="J63" i="19"/>
  <c r="M63" i="19"/>
  <c r="M49" i="19"/>
  <c r="I49" i="19"/>
  <c r="L49" i="19"/>
  <c r="H49" i="19"/>
  <c r="K49" i="19"/>
  <c r="F49" i="19"/>
  <c r="J49" i="19"/>
  <c r="J59" i="19"/>
  <c r="M59" i="19"/>
  <c r="L59" i="19"/>
  <c r="H59" i="19"/>
  <c r="K59" i="19"/>
  <c r="F59" i="19"/>
  <c r="L24" i="19"/>
  <c r="H24" i="19"/>
  <c r="K24" i="19"/>
  <c r="F24" i="19"/>
  <c r="J24" i="19"/>
  <c r="M24" i="19"/>
  <c r="I24" i="19"/>
  <c r="J28" i="19"/>
  <c r="M28" i="19"/>
  <c r="I28" i="19"/>
  <c r="L28" i="19"/>
  <c r="H28" i="19"/>
  <c r="K28" i="19"/>
  <c r="F28" i="19"/>
  <c r="L55" i="19"/>
  <c r="H55" i="19"/>
  <c r="K55" i="19"/>
  <c r="F55" i="19"/>
  <c r="J55" i="19"/>
  <c r="M55" i="19"/>
  <c r="M33" i="19"/>
  <c r="I33" i="19"/>
  <c r="L33" i="19"/>
  <c r="H33" i="19"/>
  <c r="K33" i="19"/>
  <c r="F33" i="19"/>
  <c r="J33" i="19"/>
  <c r="M66" i="19"/>
  <c r="I66" i="19"/>
  <c r="L66" i="19"/>
  <c r="H66" i="19"/>
  <c r="F66" i="19"/>
  <c r="K66" i="19"/>
  <c r="J66" i="19"/>
  <c r="J20" i="19"/>
  <c r="M20" i="19"/>
  <c r="I20" i="19"/>
  <c r="L20" i="19"/>
  <c r="H20" i="19"/>
  <c r="K20" i="19"/>
  <c r="F20" i="19"/>
  <c r="N1" i="19" a="1"/>
  <c r="N1" i="19" s="1"/>
  <c r="F19" i="19"/>
  <c r="K19" i="19"/>
  <c r="I19" i="19"/>
  <c r="M19" i="19"/>
  <c r="L19" i="19"/>
  <c r="H19" i="19"/>
  <c r="J19" i="19"/>
  <c r="H27" i="97"/>
  <c r="G27" i="97" a="1"/>
  <c r="G27" i="97" s="1"/>
  <c r="F27" i="97" a="1"/>
  <c r="F27" i="97" s="1"/>
  <c r="G28" i="97" a="1"/>
  <c r="G28" i="97" s="1"/>
  <c r="F28" i="97" a="1"/>
  <c r="F28" i="97" s="1"/>
  <c r="H28" i="97" a="1"/>
  <c r="H28" i="97" s="1"/>
  <c r="E11" i="97"/>
  <c r="E10" i="97"/>
  <c r="E36" i="97"/>
  <c r="E28" i="97"/>
  <c r="E23" i="97"/>
  <c r="B66" i="96"/>
  <c r="B60" i="96"/>
  <c r="B65" i="96"/>
  <c r="B59" i="96"/>
  <c r="B64" i="96"/>
  <c r="E35" i="97"/>
  <c r="E27" i="97"/>
  <c r="E22" i="97"/>
  <c r="B63" i="96"/>
  <c r="B68" i="96"/>
  <c r="B62" i="96"/>
  <c r="B67" i="96"/>
  <c r="B61" i="96"/>
  <c r="B36" i="97" a="1"/>
  <c r="B36" i="97" s="1"/>
  <c r="B28" i="97" a="1"/>
  <c r="B28" i="97" s="1"/>
  <c r="B23" i="97" a="1"/>
  <c r="B23" i="97" s="1"/>
  <c r="C66" i="96" a="1"/>
  <c r="C66" i="96" s="1"/>
  <c r="C60" i="96" a="1"/>
  <c r="C60" i="96" s="1"/>
  <c r="C65" i="96" a="1"/>
  <c r="C65" i="96" s="1"/>
  <c r="C59" i="96" a="1"/>
  <c r="C59" i="96" s="1"/>
  <c r="C64" i="96" a="1"/>
  <c r="C64" i="96" s="1"/>
  <c r="B35" i="97" a="1"/>
  <c r="B35" i="97" s="1"/>
  <c r="B27" i="97" a="1"/>
  <c r="B27" i="97" s="1"/>
  <c r="B22" i="97" a="1"/>
  <c r="B22" i="97" s="1"/>
  <c r="C63" i="96" a="1"/>
  <c r="C63" i="96" s="1"/>
  <c r="C68" i="96" a="1"/>
  <c r="C68" i="96" s="1"/>
  <c r="C62" i="96" a="1"/>
  <c r="C62" i="96" s="1"/>
  <c r="C67" i="96" a="1"/>
  <c r="C67" i="96" s="1"/>
  <c r="C61" i="96" a="1"/>
  <c r="C61" i="96" s="1"/>
  <c r="B47" i="96"/>
  <c r="B55" i="96"/>
  <c r="B50" i="96"/>
  <c r="B45" i="96"/>
  <c r="B53" i="96"/>
  <c r="B48" i="96"/>
  <c r="B43" i="96"/>
  <c r="B51" i="96"/>
  <c r="B46" i="96"/>
  <c r="B54" i="96"/>
  <c r="B49" i="96"/>
  <c r="B44" i="96"/>
  <c r="B52" i="96"/>
  <c r="E66" i="96"/>
  <c r="G66" i="96"/>
  <c r="E63" i="96"/>
  <c r="G63" i="96"/>
  <c r="E60" i="96"/>
  <c r="G60" i="96"/>
  <c r="E68" i="96"/>
  <c r="G68" i="96"/>
  <c r="E65" i="96"/>
  <c r="G65" i="96"/>
  <c r="A47" i="96" a="1"/>
  <c r="A47" i="96" s="1"/>
  <c r="A55" i="96" a="1"/>
  <c r="A55" i="96" s="1"/>
  <c r="A50" i="96" a="1"/>
  <c r="A50" i="96" s="1"/>
  <c r="A45" i="96" a="1"/>
  <c r="A45" i="96" s="1"/>
  <c r="A53" i="96" a="1"/>
  <c r="A53" i="96" s="1"/>
  <c r="A48" i="96" a="1"/>
  <c r="A48" i="96" s="1"/>
  <c r="E62" i="96"/>
  <c r="G62" i="96"/>
  <c r="E59" i="96"/>
  <c r="G59" i="96"/>
  <c r="C15" i="96" s="1"/>
  <c r="E67" i="96"/>
  <c r="G67" i="96"/>
  <c r="E64" i="96"/>
  <c r="G64" i="96"/>
  <c r="E61" i="96"/>
  <c r="G61" i="96"/>
  <c r="A51" i="96" a="1"/>
  <c r="A51" i="96" s="1"/>
  <c r="A46" i="96" a="1"/>
  <c r="A46" i="96" s="1"/>
  <c r="A54" i="96" a="1"/>
  <c r="A54" i="96" s="1"/>
  <c r="A49" i="96" a="1"/>
  <c r="A49" i="96" s="1"/>
  <c r="A44" i="96" a="1"/>
  <c r="A44" i="96" s="1"/>
  <c r="A52" i="96" a="1"/>
  <c r="A52" i="96" s="1"/>
  <c r="J91" i="19" l="1"/>
  <c r="F91" i="19"/>
  <c r="K91" i="19"/>
  <c r="H91" i="19"/>
  <c r="L91" i="19"/>
  <c r="I91" i="19"/>
  <c r="M91" i="19"/>
  <c r="H9" i="97"/>
  <c r="G9" i="97"/>
  <c r="G26" i="97"/>
  <c r="H26" i="97"/>
  <c r="E34" i="97"/>
  <c r="F26" i="97"/>
  <c r="E26" i="97"/>
  <c r="F9" i="97"/>
  <c r="H128" i="16"/>
  <c r="H84" i="16" s="1"/>
  <c r="A91" i="19" l="1"/>
  <c r="A95" i="19"/>
  <c r="B95" i="19" s="1"/>
  <c r="A96" i="19"/>
  <c r="B96" i="19" s="1"/>
  <c r="A94" i="19"/>
  <c r="B94" i="19" s="1"/>
  <c r="A3" i="19"/>
  <c r="A1" i="19"/>
  <c r="H19" i="16"/>
  <c r="F140" i="16"/>
  <c r="F84" i="16" s="1"/>
  <c r="P1" i="16" l="1"/>
  <c r="O3" i="16"/>
  <c r="A349" i="16" s="1"/>
  <c r="O2" i="16"/>
  <c r="E94" i="19"/>
  <c r="F19" i="16"/>
  <c r="P2" i="16"/>
  <c r="A5" i="19" l="1"/>
  <c r="I1" i="19"/>
  <c r="J93" i="19"/>
  <c r="J5" i="19" s="1"/>
  <c r="J348" i="16" l="1"/>
  <c r="A347" i="16"/>
  <c r="BV22" i="8" l="1"/>
  <c r="A8" i="8" s="1"/>
  <c r="DE2" i="8" s="1"/>
  <c r="BE5" i="8" l="1"/>
  <c r="AY54" i="8"/>
  <c r="E1" i="8"/>
  <c r="AY53" i="8"/>
  <c r="BE1" i="8"/>
</calcChain>
</file>

<file path=xl/comments1.xml><?xml version="1.0" encoding="utf-8"?>
<comments xmlns="http://schemas.openxmlformats.org/spreadsheetml/2006/main">
  <authors>
    <author>Михайлов Андрей Сергеевич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ОТ СПИСАНИЯ/НЕДОСТАЧИ СВОИХ ОС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ОТ СПИСАНИЯ/НЕДОСТАЧИ СВОИХ ГСМ</t>
        </r>
      </text>
    </comment>
    <comment ref="E19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УСЛУГИ КОЧЕГАРОВ, ИСТОПНИКОВ</t>
        </r>
      </text>
    </comment>
    <comment ref="E198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УСЛУГИ КОЧЕГАРОВ, ИСТОПНИКОВ</t>
        </r>
      </text>
    </comment>
    <comment ref="E199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УСЛУГИ КОЧЕГАРОВ, ИСТОПНИКОВ</t>
        </r>
      </text>
    </comment>
    <comment ref="E200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УСЛУГИ КОЧЕГАРОВ, ИСТОПНИКОВ</t>
        </r>
      </text>
    </comment>
    <comment ref="E20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ТОЛЬКО ХОЛОДНОЕ ВОДОСНАБЖЕНИЕ</t>
        </r>
      </text>
    </comment>
    <comment ref="E202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ТОЛЬКО ХОЛОДНОЕ ВОДОСНАБЖЕНИЕ</t>
        </r>
      </text>
    </comment>
    <comment ref="E203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ТОЛЬКО ХОЛОДНОЕ ВОДОСНАБЖЕНИЕ</t>
        </r>
      </text>
    </comment>
    <comment ref="E204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ТОЛЬКО ХОЛОДНОЕ ВОДОСНАБЖЕНИЕ</t>
        </r>
      </text>
    </comment>
    <comment ref="E205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ВЫВОЗ ТКО
</t>
        </r>
      </text>
    </comment>
    <comment ref="E206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ВЫВОЗ ТКО</t>
        </r>
      </text>
    </comment>
    <comment ref="E20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ВЫВОЗ ТКО</t>
        </r>
      </text>
    </comment>
    <comment ref="E320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ТЕПЛОЭНЕРГИЯ, ГВС, ГАЗ</t>
        </r>
      </text>
    </comment>
    <comment ref="E32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ТЕПЛОЭНЕРГИЯ, ГВС, ГАЗ</t>
        </r>
      </text>
    </comment>
    <comment ref="E322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ТЕПЛОЭНЕРГИЯ, ГВС, ГАЗ</t>
        </r>
      </text>
    </comment>
    <comment ref="E323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ТЕПЛОЭНЕРГИЯ, ГВС, ГАЗ</t>
        </r>
      </text>
    </comment>
    <comment ref="E324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ТЕПЛОЭНЕРГИЯ, ГВС, ГАЗ</t>
        </r>
      </text>
    </comment>
    <comment ref="E325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ЭЛЕКТРОЭНЕРГИЯ</t>
        </r>
      </text>
    </comment>
    <comment ref="E326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ЭЛЕКТРОЭНЕРГИЯ</t>
        </r>
      </text>
    </comment>
    <comment ref="E327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ЭЛЕКТРОЭНЕРГИЯ</t>
        </r>
      </text>
    </comment>
    <comment ref="E328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ЭЛЕКТРОЭНЕРГИЯ</t>
        </r>
      </text>
    </comment>
    <comment ref="E329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Михайлов Андрей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ЭЛЕКТРОЭНЕРГИЯ</t>
        </r>
      </text>
    </comment>
  </commentList>
</comments>
</file>

<file path=xl/sharedStrings.xml><?xml version="1.0" encoding="utf-8"?>
<sst xmlns="http://schemas.openxmlformats.org/spreadsheetml/2006/main" count="3102" uniqueCount="926">
  <si>
    <t>Наименование показателя</t>
  </si>
  <si>
    <t>Глава по БК</t>
  </si>
  <si>
    <t>по ОКЕИ</t>
  </si>
  <si>
    <t>код</t>
  </si>
  <si>
    <t>КОДЫ</t>
  </si>
  <si>
    <t>ИНН</t>
  </si>
  <si>
    <t>КПП</t>
  </si>
  <si>
    <t>"</t>
  </si>
  <si>
    <t>Единица измерения: руб.</t>
  </si>
  <si>
    <t>383</t>
  </si>
  <si>
    <t>выплаты</t>
  </si>
  <si>
    <t>поступления</t>
  </si>
  <si>
    <t>КОСГУ</t>
  </si>
  <si>
    <t>Краткое наименование</t>
  </si>
  <si>
    <t>Полное наименование</t>
  </si>
  <si>
    <t>МБДОУ Петровский детский сад</t>
  </si>
  <si>
    <t>Муниципальное бюджетное дошкольное образовательное учреждение Петровский детский сад</t>
  </si>
  <si>
    <t>МАОУ "Вахтанская средняя школа"</t>
  </si>
  <si>
    <t>Муниципальное автономное общеобразовательное учреждение "Вахтанская средняя школа"</t>
  </si>
  <si>
    <t>МБУ "Благоустройство"</t>
  </si>
  <si>
    <t>Муниципальное бюджетное учреждение "Благоустройство"</t>
  </si>
  <si>
    <t>МБОУ "Большесвечанская НШ - ДС"</t>
  </si>
  <si>
    <t>Муниципальное бюджетное общеобразовательное учреждение "Большесвечанская начальная школа - детский сад"</t>
  </si>
  <si>
    <t>МАУ ДО ШИ городского округа г. Шахунья Нижегородской области</t>
  </si>
  <si>
    <t>Муниципальное автономное учреждение дополнительного образования "Школа искусств городского округа город Шахунья Нижегородской области"</t>
  </si>
  <si>
    <t>МБДОУ Лужайский д/с "Малыш"</t>
  </si>
  <si>
    <t>Муниципальное бюджетное дошкольное образовательное учреждение Лужайский детский сад "Малыш"</t>
  </si>
  <si>
    <t>МБДОУ Хмелевицкий д/с</t>
  </si>
  <si>
    <t>Муниципальное бюджетное дошкольное образовательное учреждение Хмелевицкий детский сад</t>
  </si>
  <si>
    <t>МБДОУ д/с № 1 "Горошинка"</t>
  </si>
  <si>
    <t>Муниципальное бюджетное дошкольное образовательное учреждение детский сад № 1 "Горошинка"</t>
  </si>
  <si>
    <t>МБДОУ д/с №2 "Солнышко"</t>
  </si>
  <si>
    <t>Муниципальное бюджетное дошкольное образовательное учреждение детский сад №2 "Солнышко"</t>
  </si>
  <si>
    <t>МБДОУ д\с № 5 "Теремок"</t>
  </si>
  <si>
    <t>Муниципальное бюджетное дошкольное образовательное учреждение детский сад № 5 "Теремок" комбинированного вида</t>
  </si>
  <si>
    <t>МБДОУ Вахтанский д/с "Одуванчик"</t>
  </si>
  <si>
    <t>Муниципальное бюджетное дошкольное образовательное учреждение Вахтанский детский сад "Одуванчик"</t>
  </si>
  <si>
    <t>МБДОУ д/с № 35</t>
  </si>
  <si>
    <t>Муниципальное бюджетное дошкольное образовательное учреждение детский сад № 35</t>
  </si>
  <si>
    <t>МБДОУ д/с № 3 "Сказка"</t>
  </si>
  <si>
    <t>Муниципальное бюджетное дошкольное образовательное учреждение детский сад № 3 "Сказка"</t>
  </si>
  <si>
    <t>МБДОУ Сявский детский сад "Колокольчик"</t>
  </si>
  <si>
    <t>Муниципальное бюджетное дошкольное образовательное учреждение Сявский детский сад "Колокольчик"</t>
  </si>
  <si>
    <t>МБДОУ д/с № 147</t>
  </si>
  <si>
    <t>Муниципальное бюджетное дошкольное образовательное учреждение детский сад № 147</t>
  </si>
  <si>
    <t>(МБДОУ Д/С № 41)</t>
  </si>
  <si>
    <t>Муниципальное бюджетное дошкольное образовательное учреждение детский сад № 41 комбинированного вида</t>
  </si>
  <si>
    <t>МАДОУ д/с "Звёздочка"</t>
  </si>
  <si>
    <t>Муниципальное автономное дошкольное образовательное учреждение детский сад "Звёздочка"</t>
  </si>
  <si>
    <t>Муниципальное бюджетное учреждение культуры "Централизованная библиотечная система городского округа город Шахунья"</t>
  </si>
  <si>
    <t>МБОУ Верховская ООШ</t>
  </si>
  <si>
    <t>Муниципальное бюджетное общеобразовательное учреждение Верховская основная общеобразовательная школа</t>
  </si>
  <si>
    <t>МБОУ Красногорская ООШ</t>
  </si>
  <si>
    <t>Муниципальное бюджетное образовательное учреждение Красногорская основная общеобразовательная школа</t>
  </si>
  <si>
    <t>МБУ ДО "Центр внешкольной работы "Перспектива"</t>
  </si>
  <si>
    <t>Муниципальное бюджетное учреждение дополнительного образования "Центр внешкольной работы "Перспектива"</t>
  </si>
  <si>
    <t>МБОУ "Гимназия"</t>
  </si>
  <si>
    <t>Муниципальное бюджетное общеобразовательное учреждение "Шахунская гимназия имени А.С.Пушкина"</t>
  </si>
  <si>
    <t>МБОУ Лужайская ООШ</t>
  </si>
  <si>
    <t>Муниципальное бюджетное общеобразовательное учреждение Лужайская основная общеобразовательная школа</t>
  </si>
  <si>
    <t>МБОУ Шахунская СОШ № 1 им. Д. Комарова</t>
  </si>
  <si>
    <t>Муниципальное бюджетное общеобразовательное учреждение Шахунская средняя общеобразовательная школа № 1 им. Д. Комарова</t>
  </si>
  <si>
    <t>МБОУ Сявская СОШ</t>
  </si>
  <si>
    <t>Муниципальное бюджетное общеобразовательное учреждение Сявская средняя общеобразовательная школа</t>
  </si>
  <si>
    <t>МБОУ Черновская ООШ</t>
  </si>
  <si>
    <t>Муниципальное бюджетное общеобразовательное учреждение Черновская основная общеобразовательная школа</t>
  </si>
  <si>
    <t>МБОУ Шахунская СОШ № 14</t>
  </si>
  <si>
    <t>Муниципальное бюджетное общеобразовательное учреждение Шахунская средняя общеобразовательная школа № 14</t>
  </si>
  <si>
    <t>МБОУ СОШ №2</t>
  </si>
  <si>
    <t>Муниципальное бюджетное общеобразовательное учреждение Шахунская средняя общеобразовательная школа №2</t>
  </si>
  <si>
    <t>МБУК "ЦКС городского округа город Шахунья Нижегородской области"</t>
  </si>
  <si>
    <t>Муниципальное бюджетное учреждение культуры "Централизованная клубная система городского округа город Шахунья Нижегородской области"</t>
  </si>
  <si>
    <t>МБУК "НФЭМ"</t>
  </si>
  <si>
    <t>Муниципальное бюджетное учреждение культуры "Народный фольклорно-этнографический музей" городского округа город Шахунья Нижегородской области</t>
  </si>
  <si>
    <t>МБУ ДО "Шахунская ДХШ"</t>
  </si>
  <si>
    <t>Муниципальное бюджетное учреждение дополнительного образования "Шахунская детская художественная школа"</t>
  </si>
  <si>
    <t>МБУ ДО Хмелевицкая ДШИ</t>
  </si>
  <si>
    <t>Муниципальное бюджетное учреждение дополнительного образования "Детская школа искусств" с. Хмелевицы</t>
  </si>
  <si>
    <t>МБУ ДО Сявская ДМШ</t>
  </si>
  <si>
    <t>Муниципальное бюджетное учреждение дополнительного образования "Сявская детская музыкальная школа"</t>
  </si>
  <si>
    <t>МБУ ДО Вахтанская ДМШ</t>
  </si>
  <si>
    <t>Муниципальное бюджетное учреждение дополнительного образования Вахтанская детская музыкальная школа</t>
  </si>
  <si>
    <t>Юридический адрес</t>
  </si>
  <si>
    <t>606910,Нижегородская область,г.Шахунья,ул.Советская,д.15</t>
  </si>
  <si>
    <t>606912,Нижегородская область,г.Шахунья,ул.Чапаева,д.2А</t>
  </si>
  <si>
    <t>606913,Нижегородская область,г.Шахунья,д.Петрово,ул.Победы,д.4</t>
  </si>
  <si>
    <t>606368,Нижегородская область,г.Шахунья,с.Большое Широкое,ул.Широковская,д.8б</t>
  </si>
  <si>
    <t>606910,Нижегородская область,г.Шахунья,р.п.Вахтан,ул.Ленина,д.12</t>
  </si>
  <si>
    <t>606910,Нижегородская область,г.Шахунья,ул.Советская,д.37</t>
  </si>
  <si>
    <t>606910,Нижегородская облать,г.Шахунья,д.Большая Свеча,ул.Школьная,д.8</t>
  </si>
  <si>
    <t>606910,Нижегородская область,г.Шахунья,ул.Революционная,д.24</t>
  </si>
  <si>
    <t>606910,Нижегородская область,г.Шахунья,п.Лужайки,ул.Центральная,д.12</t>
  </si>
  <si>
    <t>606921,Нижегородская область,г.Шахунья,с.Хмелевицы,ул.Горностаева,д.4</t>
  </si>
  <si>
    <t>606910,Нижегородская обалсть,г.Шахунь,ул.Черняховского,д.18</t>
  </si>
  <si>
    <t>606910,Нижегородская область,г.Шахунья,ул.Гагарина,д.8а</t>
  </si>
  <si>
    <t>606910,Нижегородская область,г.Шахунья,ул.Коминтерна,д.42а</t>
  </si>
  <si>
    <t>606900,Нижегородская область,г.Шахунья,рп.Вахтан,ул.Карповская,д.11</t>
  </si>
  <si>
    <t>606910,Нижегородская область,г.Шахунья,ул.Ленина,д.87А</t>
  </si>
  <si>
    <t>606910,Нижегородская область,г.Шахунья,ул.Попова,д.2б</t>
  </si>
  <si>
    <t>606903,Нижегородская область,г.Шахунья,рп.Сява,ул.Просвящения,д.24</t>
  </si>
  <si>
    <t>606910,Нижегородская область,г.Шахунья,ул.Свердлова,д.24</t>
  </si>
  <si>
    <t>606910,Нижегородская область,г.Шахунья,ул.Комсомольская,д.47а</t>
  </si>
  <si>
    <t>606910,Нижегородская область,г.Шахунья,ул.Коммунистическая,д.163</t>
  </si>
  <si>
    <t>606910,Нижегородская область,г.Шахунья,ул.Чапаева,д.1</t>
  </si>
  <si>
    <t>606903,Нижегородская область,г.Шахунья,с.Верховское,ул.Центральная,д.9</t>
  </si>
  <si>
    <t>606910,Нижегородская область,г.Шахунья,д.Красногор,ул.Центральная,д.9</t>
  </si>
  <si>
    <t>606910,Нижегородская область,г.Шахунья,ул.Комсомольская,д.5</t>
  </si>
  <si>
    <t>606766,Нижегородская область,г.Шахунья,п.Лужайки,ул.Школьная,д.1а</t>
  </si>
  <si>
    <t>606903,Нижегородская область,г.Шахунья,рп.Сява,ул.Просвящения,д.4а</t>
  </si>
  <si>
    <t>607823,Нижегородская область,г.Шахунья,с.Черное,ул.Молодежная,д.17</t>
  </si>
  <si>
    <t>606910,Нижегородская область,г.Шахунья,ул.Комсомольская,д.27</t>
  </si>
  <si>
    <t>606912,Нижегородская область,г.Шахунья,ул.Ленина,д.100</t>
  </si>
  <si>
    <t>606912,Нижегородская область,г.Шахунья,ул.Гагарина,д.15</t>
  </si>
  <si>
    <t>606921,Нижегородская область,г.Шахунья,с.Хмелевицы,ул.Автомобильная,д.1а</t>
  </si>
  <si>
    <t>606910,Нижегородская область,г.Шахунья,ул.Чапаева,д.1а</t>
  </si>
  <si>
    <t>606910,Нижегородская область,г.Шахунья,с.Хмелевицы,ул.Автомобильная,д.1а</t>
  </si>
  <si>
    <t>606903,Нижегородская область,г.Шахунья,рп.Сява,ул.Ленина,д.16</t>
  </si>
  <si>
    <t>606900,Нижегородская область,г.Шахунья,рп.Вахтан,ул.Маяковского,д.31</t>
  </si>
  <si>
    <t>606910,Нижегородская область,г.Шахунья,ул.Пасхина,д.4</t>
  </si>
  <si>
    <t>АУ/БУ</t>
  </si>
  <si>
    <t>БУ</t>
  </si>
  <si>
    <t>АУ</t>
  </si>
  <si>
    <t>ОКПО</t>
  </si>
  <si>
    <t>074</t>
  </si>
  <si>
    <t>учредитель</t>
  </si>
  <si>
    <t>487</t>
  </si>
  <si>
    <t>Протокол № ___________ от</t>
  </si>
  <si>
    <t>http://www.planetaexcel.ru/techniques/2/81/</t>
  </si>
  <si>
    <t>отрасль</t>
  </si>
  <si>
    <t>ЦБС</t>
  </si>
  <si>
    <t>музей</t>
  </si>
  <si>
    <t>МХШ</t>
  </si>
  <si>
    <t>благоустройство</t>
  </si>
  <si>
    <t>газета</t>
  </si>
  <si>
    <t>Детсад</t>
  </si>
  <si>
    <t>Школа</t>
  </si>
  <si>
    <t>Допобр</t>
  </si>
  <si>
    <t>вид отрасли</t>
  </si>
  <si>
    <t>М. П.</t>
  </si>
  <si>
    <t>поиск по отрасли</t>
  </si>
  <si>
    <t>поиск без отрасли</t>
  </si>
  <si>
    <t>КБК РФ</t>
  </si>
  <si>
    <t>косгу</t>
  </si>
  <si>
    <t>подпись</t>
  </si>
  <si>
    <t>должность</t>
  </si>
  <si>
    <t>руководитель</t>
  </si>
  <si>
    <t>Заведующий</t>
  </si>
  <si>
    <t>главбух</t>
  </si>
  <si>
    <t>Главный бухгалтер</t>
  </si>
  <si>
    <t>Смирнова Валентина Николаевна</t>
  </si>
  <si>
    <t>Директор</t>
  </si>
  <si>
    <t>Усилина Татьяна Ефимовна</t>
  </si>
  <si>
    <t>Смирнова Ольга Владимировна</t>
  </si>
  <si>
    <t>Ложкина Людмила Алексеевна</t>
  </si>
  <si>
    <t>Корпусова Елена Аркадьевна</t>
  </si>
  <si>
    <t>Киселев Олег Александрович</t>
  </si>
  <si>
    <t>Ветюгова Жанна Евгеньевна</t>
  </si>
  <si>
    <t>Шарыгина Ольга Валерьевна</t>
  </si>
  <si>
    <t>Смирнова Валентина Николаевнан</t>
  </si>
  <si>
    <t>Подузова Надежда Павловна</t>
  </si>
  <si>
    <t>Каргапольцева Татьяна Владимировна</t>
  </si>
  <si>
    <t>Бровкина Татьяна Николаевна</t>
  </si>
  <si>
    <t>Бухгалтер</t>
  </si>
  <si>
    <t>Кузнецова Галина Михайловна</t>
  </si>
  <si>
    <t>Прудкова Светлана Викторовна</t>
  </si>
  <si>
    <t>Торопова Любовь Анатольевна</t>
  </si>
  <si>
    <t>Зимина Ирина Васильевна</t>
  </si>
  <si>
    <t>Костерова Татьяна Ивановна</t>
  </si>
  <si>
    <t>Хачидзе Ираида Николаевна</t>
  </si>
  <si>
    <t>Шустина Наталья Николаевна</t>
  </si>
  <si>
    <t>Гребышева Марина Генриховна</t>
  </si>
  <si>
    <t>Перминова Елена Павловна</t>
  </si>
  <si>
    <t>Чипак Ирина Николаевна</t>
  </si>
  <si>
    <t>Жолик Татьяна Валерьевна</t>
  </si>
  <si>
    <t>Растопина Ирина Анатольевна</t>
  </si>
  <si>
    <t>Талялева Наталья Александровна</t>
  </si>
  <si>
    <t>Козырева Ирина Валерьевна</t>
  </si>
  <si>
    <t>223D0050</t>
  </si>
  <si>
    <t>КВР расходы</t>
  </si>
  <si>
    <t>Ан. группа доходы</t>
  </si>
  <si>
    <t>КФСР</t>
  </si>
  <si>
    <t>0701</t>
  </si>
  <si>
    <t>0702</t>
  </si>
  <si>
    <t>0703</t>
  </si>
  <si>
    <t>0503</t>
  </si>
  <si>
    <t>0409</t>
  </si>
  <si>
    <t>0505</t>
  </si>
  <si>
    <t>0801</t>
  </si>
  <si>
    <t>1102</t>
  </si>
  <si>
    <t>1202</t>
  </si>
  <si>
    <t>0409 0502 0503 0505</t>
  </si>
  <si>
    <t>номер строки</t>
  </si>
  <si>
    <t>Малышева Наталья Вячеславовна</t>
  </si>
  <si>
    <t>Секерина Наталья Вячеславовна</t>
  </si>
  <si>
    <t>культура</t>
  </si>
  <si>
    <t>спорт</t>
  </si>
  <si>
    <t>скрыть листы с данными по КБК и учреждениям http://www.planetaexcel.ru/techniques/5/65/</t>
  </si>
  <si>
    <t>1.1</t>
  </si>
  <si>
    <t>1.2</t>
  </si>
  <si>
    <t>1.3</t>
  </si>
  <si>
    <t>2</t>
  </si>
  <si>
    <t>3</t>
  </si>
  <si>
    <t>Х</t>
  </si>
  <si>
    <t xml:space="preserve"> Директор</t>
  </si>
  <si>
    <t>Христолюбова Татьяна Александровна</t>
  </si>
  <si>
    <t>Соломина Тамара Аркадьевна</t>
  </si>
  <si>
    <t>Муниципальное казенное учреждение культуры "Центр организационно-методической работы учреждений культуры городского округа город Шахунья Нижегородской области"</t>
  </si>
  <si>
    <t>057</t>
  </si>
  <si>
    <t>223D0818</t>
  </si>
  <si>
    <t>223D0820</t>
  </si>
  <si>
    <t>223D0824</t>
  </si>
  <si>
    <t>223D0821</t>
  </si>
  <si>
    <t>223D0828</t>
  </si>
  <si>
    <t>223D0826</t>
  </si>
  <si>
    <t>223D0823</t>
  </si>
  <si>
    <t>223D0830</t>
  </si>
  <si>
    <t>Паратова Наталья Евгеньевна</t>
  </si>
  <si>
    <t>Комарова Наталья Александровна</t>
  </si>
  <si>
    <t>Исполняющий обязанности директора</t>
  </si>
  <si>
    <t>Управление по работе с территориями и благоустройству администрации городского округа город Шахунья Нижегородской области</t>
  </si>
  <si>
    <t>488</t>
  </si>
  <si>
    <t>Заместитель Главы администрации городского округа город Шахунья</t>
  </si>
  <si>
    <t>должность учредителя</t>
  </si>
  <si>
    <t>ИОФ учредителя</t>
  </si>
  <si>
    <t>47055020</t>
  </si>
  <si>
    <t>Сорокина Алена Владимировна</t>
  </si>
  <si>
    <t>32030705</t>
  </si>
  <si>
    <t>25708556</t>
  </si>
  <si>
    <t>89871414</t>
  </si>
  <si>
    <t>47054049</t>
  </si>
  <si>
    <t>47054032</t>
  </si>
  <si>
    <t>05254426</t>
  </si>
  <si>
    <t>47054227</t>
  </si>
  <si>
    <t>50333770</t>
  </si>
  <si>
    <t>47054109</t>
  </si>
  <si>
    <t>47054115</t>
  </si>
  <si>
    <t>43039685</t>
  </si>
  <si>
    <t>47054182</t>
  </si>
  <si>
    <t>52467664</t>
  </si>
  <si>
    <t>47054121</t>
  </si>
  <si>
    <t>47054210</t>
  </si>
  <si>
    <t>52467670</t>
  </si>
  <si>
    <t>39234837</t>
  </si>
  <si>
    <t>47054084</t>
  </si>
  <si>
    <t>39234547</t>
  </si>
  <si>
    <t>39234702</t>
  </si>
  <si>
    <t>39234783</t>
  </si>
  <si>
    <t>43014975</t>
  </si>
  <si>
    <t>05255070</t>
  </si>
  <si>
    <t>39234622</t>
  </si>
  <si>
    <t>02452189</t>
  </si>
  <si>
    <t>47054018</t>
  </si>
  <si>
    <t>57187892</t>
  </si>
  <si>
    <t>58271608</t>
  </si>
  <si>
    <t>05254432</t>
  </si>
  <si>
    <t>55086891</t>
  </si>
  <si>
    <t>05254538</t>
  </si>
  <si>
    <t>58271583</t>
  </si>
  <si>
    <t>Березина Елена Александровна</t>
  </si>
  <si>
    <t>МБУК " ЦБС - городского округа город Шахунья"</t>
  </si>
  <si>
    <t>606910,Нижегородская область,г.Шахунья,ул.Гагарина,д.21а</t>
  </si>
  <si>
    <t>Управление образования администрации городского округа город Шахунья Нижегородской области</t>
  </si>
  <si>
    <t>Кондрашова Галина Викторовна</t>
  </si>
  <si>
    <t>Бровкина Татьяна Сергеевна</t>
  </si>
  <si>
    <t>Яровиков Андрей Витальевич</t>
  </si>
  <si>
    <t>Яровикова Татьяна Алексеевна</t>
  </si>
  <si>
    <t>Дербенев Николай Алексеевич</t>
  </si>
  <si>
    <t>Питилимова Татьяна Александровна</t>
  </si>
  <si>
    <t>Раздел 1. Поступления и выплаты</t>
  </si>
  <si>
    <t>за пределами планового периода</t>
  </si>
  <si>
    <t>1.4</t>
  </si>
  <si>
    <t>1.4.1</t>
  </si>
  <si>
    <t>1.4.1.1</t>
  </si>
  <si>
    <t>1.4.1.2</t>
  </si>
  <si>
    <t>1.4.2</t>
  </si>
  <si>
    <t>1.4.2.1</t>
  </si>
  <si>
    <t>1.4.2.2</t>
  </si>
  <si>
    <t>1.4.3</t>
  </si>
  <si>
    <t>1.4.5</t>
  </si>
  <si>
    <t>за счет прочих источников финансового обеспечения</t>
  </si>
  <si>
    <t>1.4.5.1</t>
  </si>
  <si>
    <t>1.4.5.2</t>
  </si>
  <si>
    <t>в том числе по году начала закупки:</t>
  </si>
  <si>
    <t>ДОХОДЫ</t>
  </si>
  <si>
    <t>Принудительное изъятие</t>
  </si>
  <si>
    <t>Безвозмездные поступления</t>
  </si>
  <si>
    <t>ОСТАТОК НА НАЧАЛО</t>
  </si>
  <si>
    <t>ОСТАТОК НА КОНЕЦ</t>
  </si>
  <si>
    <t>РАСХОДЫ</t>
  </si>
  <si>
    <t>Выплаты персоналу</t>
  </si>
  <si>
    <t>КОД</t>
  </si>
  <si>
    <t>оплата труда</t>
  </si>
  <si>
    <t>прочие выплаты</t>
  </si>
  <si>
    <t>иные выплаты</t>
  </si>
  <si>
    <t>Соцвыплаты населению</t>
  </si>
  <si>
    <t>Суденые решения</t>
  </si>
  <si>
    <t>Налоги, сборы, платежи</t>
  </si>
  <si>
    <t>недвижимость</t>
  </si>
  <si>
    <t>ниокр</t>
  </si>
  <si>
    <t>прочие закупки</t>
  </si>
  <si>
    <t>=И((ИНДЕКС($A$6:$A$301;ПОИСКПОЗ(A6;$A$6:$A$301;0)))&lt;&gt;"";E6&gt;0)</t>
  </si>
  <si>
    <t>=И((ИНДЕКС($A$6:$A$301;ПОИСКПОЗ(A6;$A$6:$A$301;0)))&lt;&gt;"")</t>
  </si>
  <si>
    <t>проверка данных года E6</t>
  </si>
  <si>
    <t>проверка данных изменение I6</t>
  </si>
  <si>
    <t>иные цели</t>
  </si>
  <si>
    <t>взносы на</t>
  </si>
  <si>
    <t>выплата стипендий</t>
  </si>
  <si>
    <t>гранты гражданам</t>
  </si>
  <si>
    <t>обеспечение сирот</t>
  </si>
  <si>
    <t>Раздел 2. Сведения по выплатам на закупки товаров, работ, услуг</t>
  </si>
  <si>
    <t>Выплаты на закупку товаров, работ, услуг, всего</t>
  </si>
  <si>
    <t>по контрактам заключаемым до начала текущего года с учетом 44-ФЗ, 223-ФЗ</t>
  </si>
  <si>
    <t>за счет субсидий на муниципальное задание</t>
  </si>
  <si>
    <t>за счет субсидий на иные цели</t>
  </si>
  <si>
    <t>Прочие доходы</t>
  </si>
  <si>
    <t>целевые субсидии</t>
  </si>
  <si>
    <t>Операции с активами</t>
  </si>
  <si>
    <t>От собственности</t>
  </si>
  <si>
    <t>От оказания услуг, работ</t>
  </si>
  <si>
    <t>компенсация 000000135.130.0</t>
  </si>
  <si>
    <t>капвложения</t>
  </si>
  <si>
    <t>ПРОЧИЕ ВЫПЛАТЫ</t>
  </si>
  <si>
    <t>возврат субсидий</t>
  </si>
  <si>
    <t>капремонт</t>
  </si>
  <si>
    <t>Исполнитель</t>
  </si>
  <si>
    <t>расшифровка подписи</t>
  </si>
  <si>
    <t>доходы 0000000131.510.0</t>
  </si>
  <si>
    <t>доходы 0000000131.130.0</t>
  </si>
  <si>
    <t>доходы 0000000131.111.0</t>
  </si>
  <si>
    <t>доходы 0000000131.112.0</t>
  </si>
  <si>
    <t>доходы 0000000131.119.0</t>
  </si>
  <si>
    <t>доходы 0000000131.244.0</t>
  </si>
  <si>
    <t>доходы 0000000131.244.В</t>
  </si>
  <si>
    <t>доходы 0000000131.360.0</t>
  </si>
  <si>
    <t>доходы 0000000131.851.0</t>
  </si>
  <si>
    <t>доходы 0000000131.852.0</t>
  </si>
  <si>
    <t>доходы 0000000131.853.0</t>
  </si>
  <si>
    <t>доходы 0000000131.321.0</t>
  </si>
  <si>
    <t>доходы 0000000131.831.0</t>
  </si>
  <si>
    <t>доходы 0000000131.113.0</t>
  </si>
  <si>
    <t>временно 0000000003.510.0</t>
  </si>
  <si>
    <t>временно 0000000003.610.0</t>
  </si>
  <si>
    <t>спонсор 0000000155.510.0</t>
  </si>
  <si>
    <t>спонсор 0000000155.150.0</t>
  </si>
  <si>
    <t>спонсор 0000000155.244.0</t>
  </si>
  <si>
    <t>спонсор 0000000155.350.0</t>
  </si>
  <si>
    <t>спонсор 0000000155.853.0</t>
  </si>
  <si>
    <t>аренда 0000000121.510.0</t>
  </si>
  <si>
    <t>аренда 0000000121.120.0</t>
  </si>
  <si>
    <t>аренда 0000000121.244.0</t>
  </si>
  <si>
    <t>детсад 0110120590.510.0</t>
  </si>
  <si>
    <t>детсад 0110120590.130.0</t>
  </si>
  <si>
    <t>детсад 0110120590.111.0</t>
  </si>
  <si>
    <t>детсад 0110120590.112.0</t>
  </si>
  <si>
    <t>детсад 0110120590.113.0</t>
  </si>
  <si>
    <t>детсад 0110120590.119.0</t>
  </si>
  <si>
    <t>детсад 0110120590.244.0</t>
  </si>
  <si>
    <t>детсад 0110120590.244.В</t>
  </si>
  <si>
    <t>детсад 0110120590.831.0</t>
  </si>
  <si>
    <t>детсад 0110120590.851.0</t>
  </si>
  <si>
    <t>детсад 0110120590.852.0</t>
  </si>
  <si>
    <t>детсад 0110120590.853.0</t>
  </si>
  <si>
    <t>детсад обл 0110173080.510.0</t>
  </si>
  <si>
    <t>детсад обл 0110173080.130.0</t>
  </si>
  <si>
    <t>детсад обл 0110173080.111.0</t>
  </si>
  <si>
    <t>детсад обл 0110173080.112.0</t>
  </si>
  <si>
    <t>детсад обл 0110173080.119.0</t>
  </si>
  <si>
    <t>детсад обл 0110173080.244.0</t>
  </si>
  <si>
    <t>детсад з/п 01101S2090.510.0</t>
  </si>
  <si>
    <t>детсад з/п 01101S2090.130.0</t>
  </si>
  <si>
    <t>детсад з/п 01101S2090.111.0</t>
  </si>
  <si>
    <t>детсад з/п 01101S2090.119.0</t>
  </si>
  <si>
    <t>школа 0110221590.510.0</t>
  </si>
  <si>
    <t>школа 0110221590.130.0</t>
  </si>
  <si>
    <t>школа 0110221590.111.0</t>
  </si>
  <si>
    <t>школа 0110221590.119.0</t>
  </si>
  <si>
    <t>школа 0110221590.112.0</t>
  </si>
  <si>
    <t>школа 0110221590.244.0</t>
  </si>
  <si>
    <t>школа 0110221590.244.В</t>
  </si>
  <si>
    <t>школа 0110221590.831.0</t>
  </si>
  <si>
    <t>школа 0110221590.851.0</t>
  </si>
  <si>
    <t>школа 0110221590.852.0</t>
  </si>
  <si>
    <t>школа 0110221590.853.0</t>
  </si>
  <si>
    <t>школа обл 0110273070.510.0</t>
  </si>
  <si>
    <t>школа обл 0110273070.130.0</t>
  </si>
  <si>
    <t>школа обл 0110273070.111.0</t>
  </si>
  <si>
    <t>школа обл 0110273070.112.0</t>
  </si>
  <si>
    <t>школа обл 0110273070.113.0</t>
  </si>
  <si>
    <t>школа обл 0110273070.119.0</t>
  </si>
  <si>
    <t>школа обл 0110273070.244.0</t>
  </si>
  <si>
    <t>школа з/п 01102S2090.130.0</t>
  </si>
  <si>
    <t>школа з/п 01102S2090.111.0</t>
  </si>
  <si>
    <t>школа з/п 01102S2090.119.0</t>
  </si>
  <si>
    <t>допобр 0120123590.510.0</t>
  </si>
  <si>
    <t>допобр 0120123590.130.0</t>
  </si>
  <si>
    <t>допобр 0120123590.111.0</t>
  </si>
  <si>
    <t>допобр 0120123590.112.0</t>
  </si>
  <si>
    <t>допобр 0120123590.113.0</t>
  </si>
  <si>
    <t>допобр 0120123590.119.0</t>
  </si>
  <si>
    <t>допобр 0120123590.244.0</t>
  </si>
  <si>
    <t>допобр 0120123590.244.В</t>
  </si>
  <si>
    <t>допобр 0120123590.851.0</t>
  </si>
  <si>
    <t>допобр 0120123590.852.0</t>
  </si>
  <si>
    <t>допобр 0120123590.853.0</t>
  </si>
  <si>
    <t>допобр з/п 01201S2090.510.0</t>
  </si>
  <si>
    <t>допобр з/п 01201S2090.130.0</t>
  </si>
  <si>
    <t>допобр з/п 01201S2090.111.0</t>
  </si>
  <si>
    <t>допобр з/п 01201S2090.119.0</t>
  </si>
  <si>
    <t>учащийся 0120823590.130.0</t>
  </si>
  <si>
    <t>учащийся 0120823590.111.0</t>
  </si>
  <si>
    <t>учащийся 0120823590.119.0</t>
  </si>
  <si>
    <t xml:space="preserve"> учащийся 0120823590.244.0</t>
  </si>
  <si>
    <t>учащийся 0120823590.244.0</t>
  </si>
  <si>
    <t>освещение 0500225010.510.0</t>
  </si>
  <si>
    <t>освещение 0500225010.130.0</t>
  </si>
  <si>
    <t>освещение 0500225010.111.0</t>
  </si>
  <si>
    <t>освещение 0500225010.119.0</t>
  </si>
  <si>
    <t>освещение 0500225010.244.0</t>
  </si>
  <si>
    <t>дороги 0500302030.510.0</t>
  </si>
  <si>
    <t>дороги 0500302030.130.0</t>
  </si>
  <si>
    <t>дороги 0500302030.111.0</t>
  </si>
  <si>
    <t>дороги 0500302030.119.0</t>
  </si>
  <si>
    <t>дороги 0500302030.244.0</t>
  </si>
  <si>
    <t>захоронения 0500625040.510.0</t>
  </si>
  <si>
    <t>захоронения 0500625040.130.0</t>
  </si>
  <si>
    <t>захоронения 0500625040.111.0</t>
  </si>
  <si>
    <t>захоронения 0500625040.119.0</t>
  </si>
  <si>
    <t>захоронения 0500625040.244.0</t>
  </si>
  <si>
    <t>озеленение 0500725030.510.0</t>
  </si>
  <si>
    <t>озеленение 0500725030.130.0</t>
  </si>
  <si>
    <t>озеленение 0500725030.111.0</t>
  </si>
  <si>
    <t>озеленение 0500725030.119.0</t>
  </si>
  <si>
    <t>озеленение 0500725030.244.0</t>
  </si>
  <si>
    <t>территории 0500825050.510.0</t>
  </si>
  <si>
    <t>территории 0500825050.130.0</t>
  </si>
  <si>
    <t>территории 0500825050.111.0</t>
  </si>
  <si>
    <t>территории 0500825050.119.0</t>
  </si>
  <si>
    <t>территории 0500825050.244.0</t>
  </si>
  <si>
    <t>благоустройство 0500900590.510.0</t>
  </si>
  <si>
    <t>благоустройство 0500900590.130.0</t>
  </si>
  <si>
    <t>благоустройство 0500900590.111.0</t>
  </si>
  <si>
    <t>благоустройство 0500900590.112.0</t>
  </si>
  <si>
    <t>благоустройство 0500900590.119.0</t>
  </si>
  <si>
    <t>благоустройство 0500900590.244.0</t>
  </si>
  <si>
    <t>благоустройство 0500900590.244.В</t>
  </si>
  <si>
    <t>благоустройство 0500900590.321.0</t>
  </si>
  <si>
    <t>благоустройство 0500900590.851.0</t>
  </si>
  <si>
    <t>благоустройство 0500900590.852.0</t>
  </si>
  <si>
    <t>благоустройство 0500900590.853.0</t>
  </si>
  <si>
    <t>дорожный фонд 1200102030.510.0</t>
  </si>
  <si>
    <t>дорожный фонд 1200102030.130.0</t>
  </si>
  <si>
    <t>дорожный фонд 1200102030.244.0</t>
  </si>
  <si>
    <t>МХШ 0820323590.510.0</t>
  </si>
  <si>
    <t>МХШ 0820323590.130.0</t>
  </si>
  <si>
    <t>МХШ 0820323590.111.0</t>
  </si>
  <si>
    <t>МХШ 0820323590.112.0</t>
  </si>
  <si>
    <t>МХШ 0820323590.119.0</t>
  </si>
  <si>
    <t>МХШ 0820323590.244.0</t>
  </si>
  <si>
    <t>МХШ 0820323590.244.В</t>
  </si>
  <si>
    <t>МХШ 0820323590.851.0</t>
  </si>
  <si>
    <t>МХШ 0820323590.853.0</t>
  </si>
  <si>
    <t>МХШ з/п 08203S2090.510.0</t>
  </si>
  <si>
    <t>МХШ з/п 08203S2090.130.0</t>
  </si>
  <si>
    <t>МХШ з/п 08203S2090.111.0</t>
  </si>
  <si>
    <t>МХШ з/п 08203S2090.119.0</t>
  </si>
  <si>
    <t>ЦБС 0830542590.510.0</t>
  </si>
  <si>
    <t>ЦБС 0830542590.130.0</t>
  </si>
  <si>
    <t>ЦБС 0830542590.111.0</t>
  </si>
  <si>
    <t>ЦБС 0830542590.112.0</t>
  </si>
  <si>
    <t>ЦБС 0830542590.119.0</t>
  </si>
  <si>
    <t>ЦБС 0830542590.244.0</t>
  </si>
  <si>
    <t>ЦБС 0830542590.244.В</t>
  </si>
  <si>
    <t>ЦБС 0830542590.831.0</t>
  </si>
  <si>
    <t>ЦБС 0830542590.851.0</t>
  </si>
  <si>
    <t>ЦБС 0830542590.852.0</t>
  </si>
  <si>
    <t>ЦБС 0830542590.853.0</t>
  </si>
  <si>
    <t>ЦБС з/п 08305S2090.510.0</t>
  </si>
  <si>
    <t>ЦБС з/п 08305S2090.130.0</t>
  </si>
  <si>
    <t>ЦБС з/п 08305S2090.111.0</t>
  </si>
  <si>
    <t>ЦБС з/п 08305S2090.119.0</t>
  </si>
  <si>
    <t>музей 0840341590.510.0</t>
  </si>
  <si>
    <t>музей 0840341590.130.0</t>
  </si>
  <si>
    <t>музей 0840341590.111.0</t>
  </si>
  <si>
    <t>музей 0840341590.112.0</t>
  </si>
  <si>
    <t>музей 0840341590.119.0</t>
  </si>
  <si>
    <t>музей 0840341590.244.0</t>
  </si>
  <si>
    <t>музей 0840341590.244.В</t>
  </si>
  <si>
    <t>музей 0840341590.851.0</t>
  </si>
  <si>
    <t>музей 0840341590.853.0</t>
  </si>
  <si>
    <t>музей з/п 08403S2090.510.0</t>
  </si>
  <si>
    <t>музей з/п 08403S2090.130.0</t>
  </si>
  <si>
    <t>музей з/п 08403S2090.111.0</t>
  </si>
  <si>
    <t>музей з/п 08403S2090.119.0</t>
  </si>
  <si>
    <t>культура 0850640590.510.0</t>
  </si>
  <si>
    <t>культура 0850640590.130.0</t>
  </si>
  <si>
    <t>культура 0850640590.111.0</t>
  </si>
  <si>
    <t>культура 0850640590.112.0</t>
  </si>
  <si>
    <t>культура 0850640590.119.0</t>
  </si>
  <si>
    <t>культура 0850640590.244.0</t>
  </si>
  <si>
    <t>культура 0850640590.244.В</t>
  </si>
  <si>
    <t>культура 0850640590.831.0</t>
  </si>
  <si>
    <t>культура 0850640590.851.0</t>
  </si>
  <si>
    <t>культура 0850640590.852.0</t>
  </si>
  <si>
    <t>культура 0850640590.853.0</t>
  </si>
  <si>
    <t>культура з/п 08506S2090.510.0</t>
  </si>
  <si>
    <t>культура з/п 08506S2090.130.0</t>
  </si>
  <si>
    <t>культура з/п 08506S2090.111.0</t>
  </si>
  <si>
    <t>культура з/п 08506S2090.119.0</t>
  </si>
  <si>
    <t>спорт 1130387590.510.0</t>
  </si>
  <si>
    <t>спорт 1130387590.130.0</t>
  </si>
  <si>
    <t>спорт 1130387590.111.0</t>
  </si>
  <si>
    <t>спорт 1130387590.112.0</t>
  </si>
  <si>
    <t>спорт 1130387590.113.0</t>
  </si>
  <si>
    <t>спорт 1130387590.119.0</t>
  </si>
  <si>
    <t>спорт 1130387590.244.0</t>
  </si>
  <si>
    <t>спорт 1130387590.244.В</t>
  </si>
  <si>
    <t>спорт 1130387590.851.0</t>
  </si>
  <si>
    <t>спорт 1130387590.852.0</t>
  </si>
  <si>
    <t>спорт 1130387590.853.0</t>
  </si>
  <si>
    <t>спорт з/п 11303S2090.510.0</t>
  </si>
  <si>
    <t>спорт з/п 11303S2090.130.0</t>
  </si>
  <si>
    <t>спорт з/п 11303S2090.111.0</t>
  </si>
  <si>
    <t>спорт з/п 11303S2090.119.0</t>
  </si>
  <si>
    <t>газета обл 77706S2050.510.0</t>
  </si>
  <si>
    <t>газета обл 77706S2050.130.0</t>
  </si>
  <si>
    <t>газета обл 77706S2050.111.0</t>
  </si>
  <si>
    <t>газета обл 77706S2050.119.0</t>
  </si>
  <si>
    <t>газета обл 77706S2050.244.0</t>
  </si>
  <si>
    <t>газета 77707S2050.000.0</t>
  </si>
  <si>
    <t>газета 77707S2050.130.0</t>
  </si>
  <si>
    <t>газета 77707S2050.111.0</t>
  </si>
  <si>
    <t>газета 77707S2050.119.0</t>
  </si>
  <si>
    <t>газета 77707S2050.244.0</t>
  </si>
  <si>
    <t>показатели</t>
  </si>
  <si>
    <t>на заполнение</t>
  </si>
  <si>
    <t>Доходы+изменение=0</t>
  </si>
  <si>
    <t>Расходы+изменение=0</t>
  </si>
  <si>
    <t>Или</t>
  </si>
  <si>
    <t xml:space="preserve"> Доходы расходы изменение не равно 0</t>
  </si>
  <si>
    <t>Если</t>
  </si>
  <si>
    <t>Доходы больше 0</t>
  </si>
  <si>
    <t>Расходы больше 0</t>
  </si>
  <si>
    <t>Доходы+остаток на начало=расходы</t>
  </si>
  <si>
    <t>на верность данных</t>
  </si>
  <si>
    <t>EK</t>
  </si>
  <si>
    <t>FL</t>
  </si>
  <si>
    <t>GM</t>
  </si>
  <si>
    <t>Остаток на конец года+поступления+измение поступлений=расходы+изменение поступлений</t>
  </si>
  <si>
    <t>должность главбуха</t>
  </si>
  <si>
    <t>ИОФ главбуха</t>
  </si>
  <si>
    <t>Багерян Алена Гилимзяновна</t>
  </si>
  <si>
    <t>Софронов Юрий Алексеевич</t>
  </si>
  <si>
    <t>Кузнецов Александр Геннадьевич</t>
  </si>
  <si>
    <t>Начальник управления образования</t>
  </si>
  <si>
    <t>аренда 0000000121.180.0</t>
  </si>
  <si>
    <t>аренда 0000000121.853.0</t>
  </si>
  <si>
    <t>доходы 0000000131.180.0</t>
  </si>
  <si>
    <t>детсад 0110120590.243.0</t>
  </si>
  <si>
    <t>0113</t>
  </si>
  <si>
    <t>606910,Нижегородская область,г.Шахунья,ул.Советская,д.26</t>
  </si>
  <si>
    <t>дебиторская задолженность</t>
  </si>
  <si>
    <t>проверка колонок изменения</t>
  </si>
  <si>
    <t>1.условие - есть показатель</t>
  </si>
  <si>
    <t>2.условие нельзя менять больше запланированного</t>
  </si>
  <si>
    <t>=И((ИНДЕКС($A$6:$A$329;ПОИСКПОЗ(A19;$A$6:$A$329;0)))&lt;&gt;"";J19+M19&gt;=0)</t>
  </si>
  <si>
    <t>С МИНУСОМ</t>
  </si>
  <si>
    <t>катафалк 7770426000.130.0</t>
  </si>
  <si>
    <t>катафалк 7770426000.244.0</t>
  </si>
  <si>
    <t>1.3.1</t>
  </si>
  <si>
    <t>1.3.2</t>
  </si>
  <si>
    <t>по 223-ФЗ</t>
  </si>
  <si>
    <t>26310.1</t>
  </si>
  <si>
    <t>26421.1</t>
  </si>
  <si>
    <t>26451.1</t>
  </si>
  <si>
    <t>КЦСР</t>
  </si>
  <si>
    <t>4 РАЗРЯД КЦСР СОДЕЖРИТ</t>
  </si>
  <si>
    <t>ADEFGILNPRSTV</t>
  </si>
  <si>
    <t xml:space="preserve">КОСГУ </t>
  </si>
  <si>
    <t>название субсидии</t>
  </si>
  <si>
    <t>Отр. коды ИЦ</t>
  </si>
  <si>
    <t>выборка из листа КБК</t>
  </si>
  <si>
    <t>ПРОВЕКИ</t>
  </si>
  <si>
    <t>выборка из списка показатели</t>
  </si>
  <si>
    <t>выбор по 2 КОСГУ 152+162</t>
  </si>
  <si>
    <t>{"A";"D";"E";"F";"G";"I";"L";"N";"P";"R";"S";"T";"V"}</t>
  </si>
  <si>
    <t>26310.2</t>
  </si>
  <si>
    <t>26421.2</t>
  </si>
  <si>
    <t>Ф</t>
  </si>
  <si>
    <t>по 44-ФЗ, из них на нацпроекты</t>
  </si>
  <si>
    <t>НАЦ. ПРОЕКТ ADEFGILNPRSTV</t>
  </si>
  <si>
    <t>ОФОРМЛЕНИЯ</t>
  </si>
  <si>
    <t>ЕСЛИОШИБКА(ИНДЕКС($E$4:$E$454;НАИМЕНЬШИЙ(ЕСЛИ((($H$2=$F$4:$F$454)*($H$3=$G$4:$G$454));СТРОКА($E$4:$E$454)-3;"");СТРОКА()-3));"")</t>
  </si>
  <si>
    <t>ЕСЛИОШИБКА(ИНДЕКС($E$4:$E$455;НАИМЕНЬШИЙ(ЕСЛИ((($H$2=$F$4:$F$455)*($H$3=$G$4:$G$455)*(НЕ(ЕОШ(ПОИСК('Стр.3-9'!$K$1;$D$4:$D$455)))));СТРОКА($E$4:$E$455)-3;"");СТРОКА()-3));"")</t>
  </si>
  <si>
    <t>ссылка</t>
  </si>
  <si>
    <t>НАЦПРОЕКТЫ для 2 раздела</t>
  </si>
  <si>
    <t>№ п/п</t>
  </si>
  <si>
    <t>Коды строк</t>
  </si>
  <si>
    <t>Год начала закупки</t>
  </si>
  <si>
    <t>26451.2</t>
  </si>
  <si>
    <t>по контрактам, заключенным до начала текущего года без учета 44-ФЗ 223-ФЗ</t>
  </si>
  <si>
    <t>по контрактам заключаемыми в соответствующем году без учета 44-ФЗ 223-ФЗ</t>
  </si>
  <si>
    <t>по 44-ФЗ</t>
  </si>
  <si>
    <t>https://www.planetaexcel.ru/techniques/2/92/</t>
  </si>
  <si>
    <t>простой поиск подстановка сумм по нацпроектам</t>
  </si>
  <si>
    <t>26430.1</t>
  </si>
  <si>
    <t>26430.2</t>
  </si>
  <si>
    <t>ПОИСК БУ ИЛИ АУ</t>
  </si>
  <si>
    <t>ДЛЯ 44-ФЗ</t>
  </si>
  <si>
    <t>ЕСЛИ(ИНДЕКС(УЧРЕЖДЕНИЯ!A14:M54;ПОИСКПОЗ(ТИТУЛ!CO18;УЧРЕЖДЕНИЯ!$C$14:$C$54;0);9)="АУ";1;0)</t>
  </si>
  <si>
    <t>ПОИСК КОДОВ СУБСИДИЙ</t>
  </si>
  <si>
    <t>ПО 152 И 162 КОСГУ</t>
  </si>
  <si>
    <t>ЕСЛИОШИБКА(ИНДЕКС(КБК!E863:E967;НАИМЕНЬШИЙ(ЕСЛИ((((152=КБК!F863:F967)+(162=КБК!F863:F967))*("Ф"=КБК!I863:I967)*(НЕ(ЕОШ(ПОИСК(ПОКАЗАТЕЛИ!$N$1;КБК!D863:D967)))));СТРОКА(КБК!E863:E967)-КБК!A862;"");СТРОКА()-$J$8));"")</t>
  </si>
  <si>
    <t>ПО 162 косгу ПО 44-ФЗ БУ и АУ</t>
  </si>
  <si>
    <t>ПО 152 косгу только БУ</t>
  </si>
  <si>
    <t>поиск бу ил ау</t>
  </si>
  <si>
    <t>ЕСЛИ(ИНДЕКС(УЧРЕЖДЕНИЯ!A14:M54;ПОИСКПОЗ(ТИТУЛ!CO18;УЧРЕЖДЕНИЯ!$C$14:$C$54;0);9)="БУ";1;"*")</t>
  </si>
  <si>
    <t>общий поиск кодов субсидий</t>
  </si>
  <si>
    <t>ЕСЛИОШИБКА(ИНДЕКС(КБК!E863:E967;НАИМЕНЬШИЙ(ЕСЛИ(((152=КБК!F863:F967)*("Ф"=КБК!I863:I967)*(НЕ(ЕОШ(ПОИСК(ПОКАЗАТЕЛИ!$N$1;КБК!D863:D967)))));СТРОКА(КБК!E863:E967)-КБК!A862;"");СТРОКА()-$J$18));"")</t>
  </si>
  <si>
    <t>ЕСЛИОШИБКА(ИНДЕКС(КБК!E863:E967;НАИМЕНЬШИЙ(ЕСЛИ(((162=КБК!F863:F967)*("Ф"=КБК!I863:I967)*(НЕ(ЕОШ(ПОИСК(ПОКАЗАТЕЛИ!$N$1;КБК!D863:D967)))));СТРОКА(КБК!E863:E967)-КБК!A862;"");СТРОКА()-$J$18));"")</t>
  </si>
  <si>
    <t>все нацпроекты отрасли</t>
  </si>
  <si>
    <t>1.4.5.1 включить поиск по косгу прочих, сейчас по Z</t>
  </si>
  <si>
    <t>код строки</t>
  </si>
  <si>
    <t>Уреждение</t>
  </si>
  <si>
    <t>по Сводному реестру</t>
  </si>
  <si>
    <t>223D0798</t>
  </si>
  <si>
    <t>223D0137</t>
  </si>
  <si>
    <t>Вид документа</t>
  </si>
  <si>
    <t xml:space="preserve">Орган, осуществляющий функции и полномочия учредителя </t>
  </si>
  <si>
    <t>Юридический адрес учреждения</t>
  </si>
  <si>
    <t>первичный</t>
  </si>
  <si>
    <t>уточненный</t>
  </si>
  <si>
    <t>версия Плана ФХД</t>
  </si>
  <si>
    <t>https://www.planetaexcel.ru/techniques/1/38/</t>
  </si>
  <si>
    <t>СМЕЩ(ТИТУЛ!$DE$23;ПОИСКПОЗ(ТИТУЛ!$R$22;ТИТУЛ!$DE$23:$DE$56;0)-1;1;СЧЁТЕСЛИ(ТИТУЛ!$DE$23:$DE$56;ТИТУЛ!$R$22);1)</t>
  </si>
  <si>
    <t>Ctrl+F3 версия_Плана_ФХД</t>
  </si>
  <si>
    <t>CO22 проверка данных список =версия_Плана_ФХД</t>
  </si>
  <si>
    <t>комфорт 777F254240.244.0</t>
  </si>
  <si>
    <t>детсад 0110120590.244.М</t>
  </si>
  <si>
    <t>МХШ 0820323590.244.М</t>
  </si>
  <si>
    <t>ЦБС 0830542590.244.М</t>
  </si>
  <si>
    <t>музей 0840341590.244.М</t>
  </si>
  <si>
    <t>культура 0850640590.244.М</t>
  </si>
  <si>
    <t>школа 0110221590.244.М</t>
  </si>
  <si>
    <t>допобр 0120123590.244.М</t>
  </si>
  <si>
    <t>благоустройство 0500900590.244.М</t>
  </si>
  <si>
    <t>спорт 1130387590.244.М</t>
  </si>
  <si>
    <t>2233 Водоснабжение 244.В</t>
  </si>
  <si>
    <t>2234 Обращение ТКО 244.М</t>
  </si>
  <si>
    <t>на заседании Наблюдательного совета</t>
  </si>
  <si>
    <t>СМЕЩ(ТИТУЛ!$DE$23;ПОИСКПОЗ(ТИТУЛ!$R$22;ТИТУЛ!$DE$23:$DE$55;0)-1;1;СЧЁТЕСЛИ(ТИТУЛ!$DE$23:$DE$55;ТИТУЛ!$R$22);1)</t>
  </si>
  <si>
    <t>энергоресурсы</t>
  </si>
  <si>
    <t>доходы 0000000131.247.Э</t>
  </si>
  <si>
    <t>аренда 0000000121.247.Э</t>
  </si>
  <si>
    <t>компенсация 000000135.247.Э</t>
  </si>
  <si>
    <t>детсад 0110120590.247.Э</t>
  </si>
  <si>
    <t>школа 0110221590.247.Э</t>
  </si>
  <si>
    <t>допобр 0120123590.247.Э</t>
  </si>
  <si>
    <t>благоустройство 0500900590.247.Э</t>
  </si>
  <si>
    <t>МХШ 0820323590.247.Э</t>
  </si>
  <si>
    <t>ЦБС 0830542590.247.Э</t>
  </si>
  <si>
    <t>музей 0840341590.247.Э</t>
  </si>
  <si>
    <t>культура 0850640590.247.Э</t>
  </si>
  <si>
    <t>спорт 1130387590.247.Э</t>
  </si>
  <si>
    <t>доходы 0000000131.247.Т</t>
  </si>
  <si>
    <t>аренда 0000000121.247.Т</t>
  </si>
  <si>
    <t>детсад 0110120590.247.Т</t>
  </si>
  <si>
    <t>школа 0110221590.247.Т</t>
  </si>
  <si>
    <t>допобр 0120123590.247.Т</t>
  </si>
  <si>
    <t>благоустройство 0500900590.247.Т</t>
  </si>
  <si>
    <t>МХШ 0820323590.247.Т</t>
  </si>
  <si>
    <t>ЦБС 0830542590.247.Т</t>
  </si>
  <si>
    <t>музей 0840341590.247.Т</t>
  </si>
  <si>
    <t>культура 0850640590.247.Т</t>
  </si>
  <si>
    <t>спорт 1130387590.247.Т</t>
  </si>
  <si>
    <t>газета обл 77706S2050.247.Т</t>
  </si>
  <si>
    <t>газета 77707S2050.247.Т</t>
  </si>
  <si>
    <t>муниципальное задание</t>
  </si>
  <si>
    <t>0001</t>
  </si>
  <si>
    <t>0002</t>
  </si>
  <si>
    <t>Прочие поступления</t>
  </si>
  <si>
    <t>соцвыплаты, кроме ПНО</t>
  </si>
  <si>
    <t>Перечисления организациям</t>
  </si>
  <si>
    <t>гранты БУ</t>
  </si>
  <si>
    <t>гранты АУ</t>
  </si>
  <si>
    <t>гранты НКО</t>
  </si>
  <si>
    <t>гранты юр. и физ. лицам</t>
  </si>
  <si>
    <t>взносы МНО</t>
  </si>
  <si>
    <t>платежи соглашения МНО</t>
  </si>
  <si>
    <t>Расходы на закупки, всего</t>
  </si>
  <si>
    <t>Прочие расходы</t>
  </si>
  <si>
    <t>УМЕНЬШЕНИЕ ДОХОДА</t>
  </si>
  <si>
    <t>Налог на прибыль</t>
  </si>
  <si>
    <t>НДС</t>
  </si>
  <si>
    <t>Прочие налоги</t>
  </si>
  <si>
    <t>Учреждение</t>
  </si>
  <si>
    <t>ссылкы КБК по ИЦ на 510 от.коды</t>
  </si>
  <si>
    <t>Орган, осуществляющий функции и полномочия учредителя</t>
  </si>
  <si>
    <t xml:space="preserve">Планируемые на </t>
  </si>
  <si>
    <t>Сумма после изменений на, руб.</t>
  </si>
  <si>
    <t>Сумма до изменений на, руб.</t>
  </si>
  <si>
    <t>Сумма изменений на, руб.</t>
  </si>
  <si>
    <t>Сумма на, руб.</t>
  </si>
  <si>
    <t>катафалк 7770426000.510.0</t>
  </si>
  <si>
    <t>СД</t>
  </si>
  <si>
    <t>детсад</t>
  </si>
  <si>
    <t>школа</t>
  </si>
  <si>
    <t>допобр</t>
  </si>
  <si>
    <t>МЗ</t>
  </si>
  <si>
    <t>ИЦ</t>
  </si>
  <si>
    <t>дебиторка</t>
  </si>
  <si>
    <t>иные налоги</t>
  </si>
  <si>
    <t>штрафы</t>
  </si>
  <si>
    <t>МАУ "ФОК "АТЛАНТ" В Г.ШАХУНЬЯ"</t>
  </si>
  <si>
    <t>МБУ ФСК "НАДЕЖДА"</t>
  </si>
  <si>
    <t>МБДОУ БОЛЬШЕШИРОКОВСКИЙ ДС</t>
  </si>
  <si>
    <t>фед.культура 08102L4670.150.0</t>
  </si>
  <si>
    <t>фед.культура 08102L4670.244.0</t>
  </si>
  <si>
    <t>праздник 0850525220.150.0</t>
  </si>
  <si>
    <t>праздник 0850525220.244.0</t>
  </si>
  <si>
    <t>0707</t>
  </si>
  <si>
    <t>здоровье 0160125170.150.0</t>
  </si>
  <si>
    <t>здоровье 0160125170.244.0</t>
  </si>
  <si>
    <t>Малышева Марина Николаевна</t>
  </si>
  <si>
    <t>класс 0110253030.150.0</t>
  </si>
  <si>
    <t>класс 0110253030.111.0</t>
  </si>
  <si>
    <t>класс 0110253030.119.0</t>
  </si>
  <si>
    <t>горяч.питание 01102L3040.150.0</t>
  </si>
  <si>
    <t>горяч.питание 01102L3040.244.0</t>
  </si>
  <si>
    <t>доп.питание 01102S2490.150.0</t>
  </si>
  <si>
    <t>доп.питание 01102S2490.244.0</t>
  </si>
  <si>
    <t>МТБ обр 0110300040.150.0</t>
  </si>
  <si>
    <t>МТБ обр 0110300040.244.0</t>
  </si>
  <si>
    <t>ремонт 01103S2180.150.0</t>
  </si>
  <si>
    <t>ремонт 01103S2180.243.0</t>
  </si>
  <si>
    <t>комфорт 777F254240.510.0</t>
  </si>
  <si>
    <t>ИНДЕКС(Прайс[Цена];ПОИСКПОЗ(1;ИНДЕКС((A2=Прайс[Наименование])*(B2=Прайс[Порода])*(C2=Прайс[Размер]);););1)</t>
  </si>
  <si>
    <t>23.01.2021 АВТОРАСЧЕТ ЛИСТА ИНЫЕ ЦЕЛИ</t>
  </si>
  <si>
    <t>Наименование субсидии код КОСГУ</t>
  </si>
  <si>
    <t>ЕСЛИОШИБКА(ИНДЕКС(ПОКАЗАТЕЛИ!$A$7:$H$17;ПОИСКПОЗ($A$23;ПОКАЗАТЕЛИ!$A$7:$A$17;0);6);"")</t>
  </si>
  <si>
    <t>ЕСЛИОШИБКА(ИНДЕКС(ПОКАЗАТЕЛИ!$A$6:$H$19;ПОИСКПОЗ(1;ИНДЕКС((A23=ПОКАЗАТЕЛИ!$A$6:$A$19)*(D23=ПОКАЗАТЕЛИ!$C$6:$C$19)*(E23=ПОКАЗАТЕЛИ!$D$6:$D$19););0);6);"")</t>
  </si>
  <si>
    <t>Артемьева Елизавета Михайловна</t>
  </si>
  <si>
    <t>Габдулин Шамиль Рауильевич</t>
  </si>
  <si>
    <t>Соловьева Ирина Алексеевна</t>
  </si>
  <si>
    <t>Администрация городского округа город Шахунья Нижегородской области</t>
  </si>
  <si>
    <t>Глава местного самоуправления городского округа город Шахунья</t>
  </si>
  <si>
    <t>Кошелев Роман Вячеславович</t>
  </si>
  <si>
    <t>Г.</t>
  </si>
  <si>
    <t>АПРЕЛЯ</t>
  </si>
  <si>
    <t>ПЛАН ФИНАНСОВО-ХОЗЯЙСТВЕННОЙ ДЕЯТЕЛЬНОСТИ</t>
  </si>
  <si>
    <t>ДАТА</t>
  </si>
  <si>
    <t>МЕСЯЦ</t>
  </si>
  <si>
    <t>ЯНВАРЯ</t>
  </si>
  <si>
    <t>ФЕВРАЛЯ</t>
  </si>
  <si>
    <t>МАРТА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</si>
  <si>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</si>
  <si>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</si>
  <si>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</si>
  <si>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</si>
  <si>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</si>
  <si>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</si>
  <si>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</si>
  <si>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</si>
  <si>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ВЕРСИЯ</t>
  </si>
  <si>
    <t>НОМЕР</t>
  </si>
  <si>
    <t>23.01.2021 ИНЫЕ ЦЕЛИ УБРАЛ Остаток средств на начало, Т.К ОН ЕСТЬ ВНИЗУ</t>
  </si>
  <si>
    <t>СЦЕПИТЬ("Остаток средств на начало ";ТИТУЛ!DF10;" Г.")</t>
  </si>
  <si>
    <t>СУММЕСЛИМН(ПОКАЗАТЕЛИ!F7:F17;ПОКАЗАТЕЛИ!A7:A17;КБК!E853)</t>
  </si>
  <si>
    <t>Муниципальное автономное учреждение "Физкультурно-оздоровительный комплекс "Атлант" в г.Шахунья"</t>
  </si>
  <si>
    <t>Наменование и код субсидии</t>
  </si>
  <si>
    <t>убрал вычисление кода субсидии</t>
  </si>
  <si>
    <t>ЕСЛИОШИБКА(ПСТР(A34;ПОИСКПОЗ(ИСТИНА;ЕЧИСЛО(ПСТР(A34;СТРОКА(ДВССЫЛ("1:"&amp;ДЛСТР(A34)));1)*1);0);10);"")</t>
  </si>
  <si>
    <t>ВСЕГО</t>
  </si>
  <si>
    <t>ФАИП</t>
  </si>
  <si>
    <t>Чернигина Елена Николаевна</t>
  </si>
  <si>
    <t>Муниципальное бюджетное дошкольное образовательное учреждение Большешироковский детский сад</t>
  </si>
  <si>
    <t>Автономное учреждение "Редакция газеты "Знамя труда"</t>
  </si>
  <si>
    <t>АУ "Редакция газеты "Знамя труда"</t>
  </si>
  <si>
    <t>Муниципальное бюджетное учреждение физкультурно-спортивный клуб "Надежда"</t>
  </si>
  <si>
    <t>культура 0850640590.244.Т</t>
  </si>
  <si>
    <t>ЦБС 0830542590.244.Т</t>
  </si>
  <si>
    <t>Главный редактор</t>
  </si>
  <si>
    <t>Конев Дмитрий Николаевич</t>
  </si>
  <si>
    <t>Мелентьева Вера Владимировна</t>
  </si>
  <si>
    <t>Рыжаков Иван Николаевич</t>
  </si>
  <si>
    <t>Хомутова Елена Владимировна</t>
  </si>
  <si>
    <t>дети-инвалиды 0110173170.510.0</t>
  </si>
  <si>
    <t>дети-инвалиды 0110173170.150.0</t>
  </si>
  <si>
    <t>дети-инвалиды 0110173170.244.0</t>
  </si>
  <si>
    <t>ЛВС школа 011D274850.510.0</t>
  </si>
  <si>
    <t>ЛВС школа 011D274850.244.0</t>
  </si>
  <si>
    <t>МТБ обр 0110300040.510.0</t>
  </si>
  <si>
    <t>МТБ обр 0110300040.243.0</t>
  </si>
  <si>
    <t>питание 0110273180.150.0</t>
  </si>
  <si>
    <t>питание 0110273180.244.0</t>
  </si>
  <si>
    <t>горяч.питание 01102L3040.510.0</t>
  </si>
  <si>
    <t>доп.питание 01102S2490.111.0</t>
  </si>
  <si>
    <t>доп.питание 01102S2490.119.0</t>
  </si>
  <si>
    <t xml:space="preserve"> учащийся 0120823590.510.0</t>
  </si>
  <si>
    <t>Лопатина Елена Сергеевна</t>
  </si>
  <si>
    <t>лучший ДК 08102L5190.150.0</t>
  </si>
  <si>
    <t>лучший ДК 08102L5190.244.0</t>
  </si>
  <si>
    <t>детсад 0110120590.244.Т</t>
  </si>
  <si>
    <t>детсад 0110120590.610.0</t>
  </si>
  <si>
    <t>школа 0110221590.610.0</t>
  </si>
  <si>
    <t>допобр 0120123590.610.0</t>
  </si>
  <si>
    <t>культура 0850640590.610.0</t>
  </si>
  <si>
    <t>ЦБС 0830542590.610.0</t>
  </si>
  <si>
    <t>музей 0840341590.610.0</t>
  </si>
  <si>
    <t>МХШ 0820323590.610.0</t>
  </si>
  <si>
    <t>точка роста 011E174590.150.0</t>
  </si>
  <si>
    <t>точка роста 011E174590.111.0</t>
  </si>
  <si>
    <t>точка роста 011E174590.119.0</t>
  </si>
  <si>
    <t>Начальник сектора по бухгалтерскому учету и отчетности</t>
  </si>
  <si>
    <t xml:space="preserve"> учащийся 0120823590.610.0</t>
  </si>
  <si>
    <t>спорт 1130387590.610.0</t>
  </si>
  <si>
    <t>точка роста 011E174590.244.0</t>
  </si>
  <si>
    <t>Белых Екатерина Евгеньевна</t>
  </si>
  <si>
    <t>страховка 0000000143.140.0</t>
  </si>
  <si>
    <t>страховка 0000000143.244.0</t>
  </si>
  <si>
    <t>развитие ДК 081A255190.150.0</t>
  </si>
  <si>
    <t>развитие ДК 081A255190.244.0</t>
  </si>
  <si>
    <t>поддержка 7770622000.150.0</t>
  </si>
  <si>
    <t>поддержка 7770622000.244.0</t>
  </si>
  <si>
    <t>МТБ культура 0810200040.150.0</t>
  </si>
  <si>
    <t>МТБ культура 0810200040.244.0</t>
  </si>
  <si>
    <t>антипожар 0110325040.150.0</t>
  </si>
  <si>
    <t>антипожар 0110325040.244.0</t>
  </si>
  <si>
    <t>территории 0500825050.244.M</t>
  </si>
  <si>
    <t>захоронения 0500625040.244.M</t>
  </si>
  <si>
    <t>аттестация 7770673140.150.0</t>
  </si>
  <si>
    <t>аттестация 7770673140.111.0</t>
  </si>
  <si>
    <t>аттестация 7770673140.119.0</t>
  </si>
  <si>
    <t>Мурзинская Елена Ивановна</t>
  </si>
  <si>
    <t>эколагерь 01601S2120.150.0</t>
  </si>
  <si>
    <t>трудбригада 0160325170.150.0</t>
  </si>
  <si>
    <t>0401</t>
  </si>
  <si>
    <t>эколагерь 01601S2120.244.0</t>
  </si>
  <si>
    <t>трудбригада 0160325170.244.0</t>
  </si>
  <si>
    <t>турлагерь 0160525170.150.0</t>
  </si>
  <si>
    <t>турлагерь 0160525170.244.0</t>
  </si>
  <si>
    <t>двор.практика 0160425170.150.0</t>
  </si>
  <si>
    <t>двор.практика 0160425170.244.0</t>
  </si>
  <si>
    <t>парк Покровский 2200274650.150.0</t>
  </si>
  <si>
    <t>парк Покровский 2200274650.244.0</t>
  </si>
  <si>
    <t>поддержка СМИ 7770700590.150.0</t>
  </si>
  <si>
    <t>поддержка СМИ 7770700590.244.0</t>
  </si>
  <si>
    <t>антипожар 0120225040.150.0</t>
  </si>
  <si>
    <t>антипожар 0120225040.244.0</t>
  </si>
  <si>
    <t>грант 0000000162.150.0</t>
  </si>
  <si>
    <t>грант 0000000162.244.0</t>
  </si>
  <si>
    <t>компенсация 000000135.247.Т</t>
  </si>
  <si>
    <t>компенсация 000000135.244.В</t>
  </si>
  <si>
    <t>Волнякова Екатерина Евгеньевна</t>
  </si>
  <si>
    <t>территории 0500825050.244.В</t>
  </si>
  <si>
    <t>Исполнящий обязанностей директора</t>
  </si>
  <si>
    <t>Титова Оксана Владимировна</t>
  </si>
  <si>
    <t>Исполняющий обязанностей директора</t>
  </si>
  <si>
    <t>мин.з/п 05009S2190.130.0</t>
  </si>
  <si>
    <t>мин.з/п 05009S2190.111.0</t>
  </si>
  <si>
    <t>мин.з/п 05009S2190.119.0</t>
  </si>
  <si>
    <t>мин.з/п 11303S2190.130.0</t>
  </si>
  <si>
    <t>мин.з/п 11303S2190.111.0</t>
  </si>
  <si>
    <t>мин.з/п 11303S2190.119.0</t>
  </si>
  <si>
    <t>мин.з/п 01101S2190.130.0</t>
  </si>
  <si>
    <t>мин.з/п 01101S2190.111.0</t>
  </si>
  <si>
    <t>мин.з/п 01101S2190.119.0</t>
  </si>
  <si>
    <t>мин.з/п 01102S2190.130.0</t>
  </si>
  <si>
    <t>мин.з/п 01102S2190.111.0</t>
  </si>
  <si>
    <t>мин.з/п 01102S2190.119.0</t>
  </si>
  <si>
    <t>мин.з/п 01201S2190.130.0</t>
  </si>
  <si>
    <t>мин.з/п 01201S2190.111.0</t>
  </si>
  <si>
    <t>мин.з/п 01201S2190.119.0</t>
  </si>
  <si>
    <t>полномочия 11303S2650.130.0</t>
  </si>
  <si>
    <t>полномочия 11303S2650.111.0</t>
  </si>
  <si>
    <t>полномочия 11303S2650.119.0</t>
  </si>
  <si>
    <t>ПРИЧИНА</t>
  </si>
  <si>
    <t>ИЗМЕНЕНИЯ</t>
  </si>
  <si>
    <t>РЕОРГАНИЗАЦИЯ В ФОРМЕ ПРИСОЕДИНЕНИЯ</t>
  </si>
  <si>
    <t>Оносова Анна Олеговна</t>
  </si>
  <si>
    <t>Толчин Александр Петрович</t>
  </si>
  <si>
    <t>Уникальный код</t>
  </si>
  <si>
    <t>26310.10</t>
  </si>
  <si>
    <t>26310.11</t>
  </si>
  <si>
    <t>26310.21</t>
  </si>
  <si>
    <t>капвложения Электронный бюджет</t>
  </si>
  <si>
    <t>по 44-ФЗ, из них на</t>
  </si>
  <si>
    <t>нацпроекты</t>
  </si>
  <si>
    <t>за счет субсидий на капвложения, их них на</t>
  </si>
  <si>
    <t xml:space="preserve"> нацпроекты</t>
  </si>
  <si>
    <t>26430.10</t>
  </si>
  <si>
    <t>26430.11</t>
  </si>
  <si>
    <t>26430.21</t>
  </si>
  <si>
    <t>26310.20</t>
  </si>
  <si>
    <t>26430.20</t>
  </si>
  <si>
    <t>26451.10</t>
  </si>
  <si>
    <t>26451.11</t>
  </si>
  <si>
    <t>26451.20</t>
  </si>
  <si>
    <t>26451.21</t>
  </si>
  <si>
    <t>проверка верность</t>
  </si>
  <si>
    <t>проверка заполненность</t>
  </si>
  <si>
    <t>Итого по контрактам, заключаемым в соответствующем году по 44-ФЗ</t>
  </si>
  <si>
    <t>Итого по договорам, заключаемым в соответствующем году по 223-ФЗ</t>
  </si>
  <si>
    <t>по контрактам заключаемым в соответствующем году по 44-ФЗ 223-ФЗ</t>
  </si>
  <si>
    <t>2231 Электроэнергия 247.Э</t>
  </si>
  <si>
    <t>2232 Теплоэнергия 247.Т</t>
  </si>
  <si>
    <t>полномочия 11303S2650.247.Т</t>
  </si>
  <si>
    <t>капитальные вложения</t>
  </si>
  <si>
    <t>приобретение объектов</t>
  </si>
  <si>
    <t>строительство объектов</t>
  </si>
  <si>
    <t>0802</t>
  </si>
  <si>
    <t>ТЕКУЩИЙ ГОД</t>
  </si>
  <si>
    <t>ПЛАНОВЫЙ ГОД</t>
  </si>
  <si>
    <t>ГОДЫ</t>
  </si>
  <si>
    <t>спецтехника 0500100040.150.0</t>
  </si>
  <si>
    <t>спецтехника 0500100040.244.0</t>
  </si>
  <si>
    <t>эффективность 7770671040.150.0</t>
  </si>
  <si>
    <t>эффективность 7770671040.244.0</t>
  </si>
  <si>
    <t>-ГСМ 0000000443.244.0</t>
  </si>
  <si>
    <t>-ОС 0000000410.410.0</t>
  </si>
  <si>
    <t>-ОС 0000000410.244.0</t>
  </si>
  <si>
    <t>-ГСМ 0000000443.440.0</t>
  </si>
  <si>
    <t>дорожный фонд 1200102030.610.0</t>
  </si>
  <si>
    <t>МАОУ  Хмелевицкая СОШ</t>
  </si>
  <si>
    <t>Муниципальное автономное общеобразовательное учреждение "Хмелевицкая средняя общеобразовательная школа"</t>
  </si>
  <si>
    <t>Соколова Татьяна Александровна</t>
  </si>
  <si>
    <t>версия 220102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</si>
</sst>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547">
    <xf numFmtId="0" fontId="0" fillId="0" borderId="0" xfId="0"/>
    <xf numFmtId="49" fontId="0" fillId="0" borderId="0" xfId="0" applyNumberFormat="1"/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5" fillId="2" borderId="0" xfId="1" applyNumberFormat="1" applyFont="1" applyFill="1" applyProtection="1"/>
    <xf numFmtId="0" fontId="7" fillId="2" borderId="0" xfId="1" applyFont="1" applyFill="1" applyProtection="1"/>
    <xf numFmtId="0" fontId="7" fillId="2" borderId="0" xfId="0" applyFont="1" applyFill="1" applyProtection="1"/>
    <xf numFmtId="0" fontId="4" fillId="2" borderId="0" xfId="1" applyNumberFormat="1" applyFont="1" applyFill="1" applyAlignment="1" applyProtection="1">
      <alignment vertical="top"/>
    </xf>
    <xf numFmtId="0" fontId="4" fillId="2" borderId="0" xfId="1" applyNumberFormat="1" applyFont="1" applyFill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8" fillId="2" borderId="0" xfId="1" applyFont="1" applyFill="1" applyProtection="1"/>
    <xf numFmtId="0" fontId="4" fillId="2" borderId="0" xfId="1" applyFont="1" applyFill="1" applyAlignment="1" applyProtection="1">
      <alignment vertical="top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 vertical="center"/>
    </xf>
    <xf numFmtId="0" fontId="18" fillId="0" borderId="0" xfId="0" applyFont="1" applyProtection="1"/>
    <xf numFmtId="0" fontId="19" fillId="0" borderId="0" xfId="0" applyFont="1" applyProtection="1"/>
    <xf numFmtId="0" fontId="19" fillId="0" borderId="0" xfId="0" applyFont="1" applyBorder="1" applyAlignment="1" applyProtection="1">
      <alignment vertical="top"/>
    </xf>
    <xf numFmtId="0" fontId="18" fillId="0" borderId="0" xfId="0" applyFont="1" applyAlignment="1" applyProtection="1"/>
    <xf numFmtId="4" fontId="18" fillId="0" borderId="0" xfId="0" applyNumberFormat="1" applyFont="1" applyProtection="1"/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4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0" fillId="0" borderId="0" xfId="0" applyNumberFormat="1" applyAlignment="1">
      <alignment horizontal="right" vertical="center"/>
    </xf>
    <xf numFmtId="49" fontId="0" fillId="0" borderId="0" xfId="0" applyNumberForma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Fill="1" applyBorder="1" applyAlignment="1" applyProtection="1">
      <alignment horizontal="right"/>
    </xf>
    <xf numFmtId="0" fontId="0" fillId="0" borderId="0" xfId="0" applyAlignment="1">
      <alignment vertical="center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49" fontId="0" fillId="5" borderId="0" xfId="0" applyNumberFormat="1" applyFill="1" applyAlignment="1">
      <alignment horizontal="left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4" fontId="1" fillId="0" borderId="12" xfId="0" applyNumberFormat="1" applyFont="1" applyFill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horizontal="right" vertical="center" wrapText="1"/>
    </xf>
    <xf numFmtId="4" fontId="1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14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4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0" xfId="0" applyFill="1"/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Alignment="1">
      <alignment vertical="center"/>
    </xf>
    <xf numFmtId="0" fontId="11" fillId="0" borderId="0" xfId="2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4" fillId="2" borderId="0" xfId="1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0" fillId="0" borderId="0" xfId="0" applyNumberFormat="1" applyFill="1" applyAlignment="1" applyProtection="1">
      <alignment horizontal="center" vertical="center"/>
    </xf>
    <xf numFmtId="0" fontId="11" fillId="0" borderId="0" xfId="2" applyNumberFormat="1" applyFill="1" applyProtection="1"/>
    <xf numFmtId="1" fontId="0" fillId="0" borderId="0" xfId="0" applyNumberFormat="1" applyFill="1" applyAlignment="1" applyProtection="1">
      <alignment horizontal="center" vertical="center"/>
    </xf>
    <xf numFmtId="0" fontId="0" fillId="0" borderId="2" xfId="0" applyNumberFormat="1" applyFill="1" applyBorder="1" applyProtection="1"/>
    <xf numFmtId="0" fontId="0" fillId="0" borderId="0" xfId="0" applyNumberFormat="1" applyFill="1" applyBorder="1" applyProtection="1"/>
    <xf numFmtId="0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vertical="center"/>
    </xf>
    <xf numFmtId="4" fontId="1" fillId="0" borderId="18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4" fontId="1" fillId="0" borderId="21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/>
    <xf numFmtId="0" fontId="18" fillId="0" borderId="12" xfId="0" applyFont="1" applyBorder="1" applyAlignment="1" applyProtection="1">
      <alignment horizontal="center" vertical="center"/>
    </xf>
    <xf numFmtId="0" fontId="18" fillId="0" borderId="12" xfId="0" applyFont="1" applyBorder="1" applyProtection="1"/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/>
    </xf>
    <xf numFmtId="0" fontId="3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 vertical="center" wrapText="1"/>
    </xf>
    <xf numFmtId="4" fontId="18" fillId="0" borderId="14" xfId="0" applyNumberFormat="1" applyFont="1" applyBorder="1" applyAlignment="1" applyProtection="1">
      <alignment horizontal="right" vertical="center"/>
    </xf>
    <xf numFmtId="4" fontId="1" fillId="0" borderId="26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" fontId="1" fillId="0" borderId="28" xfId="0" applyNumberFormat="1" applyFont="1" applyFill="1" applyBorder="1" applyAlignment="1" applyProtection="1">
      <alignment horizontal="right" vertical="center"/>
    </xf>
    <xf numFmtId="4" fontId="1" fillId="0" borderId="29" xfId="0" applyNumberFormat="1" applyFont="1" applyFill="1" applyBorder="1" applyAlignment="1" applyProtection="1">
      <alignment horizontal="right" vertical="center"/>
    </xf>
    <xf numFmtId="4" fontId="1" fillId="0" borderId="30" xfId="0" applyNumberFormat="1" applyFont="1" applyFill="1" applyBorder="1" applyAlignment="1" applyProtection="1">
      <alignment horizontal="righ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4" fontId="1" fillId="0" borderId="34" xfId="0" applyNumberFormat="1" applyFont="1" applyFill="1" applyBorder="1" applyAlignment="1" applyProtection="1">
      <alignment horizontal="righ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35" xfId="0" applyNumberFormat="1" applyFont="1" applyFill="1" applyBorder="1" applyAlignment="1" applyProtection="1">
      <alignment horizontal="right" vertical="center"/>
    </xf>
    <xf numFmtId="4" fontId="1" fillId="0" borderId="33" xfId="0" applyNumberFormat="1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49" fontId="1" fillId="0" borderId="27" xfId="0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left" vertical="center"/>
    </xf>
    <xf numFmtId="0" fontId="40" fillId="0" borderId="12" xfId="0" applyFont="1" applyFill="1" applyBorder="1" applyAlignment="1" applyProtection="1">
      <alignment horizontal="left" vertical="center"/>
    </xf>
    <xf numFmtId="4" fontId="1" fillId="0" borderId="37" xfId="0" applyNumberFormat="1" applyFont="1" applyFill="1" applyBorder="1" applyAlignment="1" applyProtection="1">
      <alignment horizontal="right" vertical="center"/>
    </xf>
    <xf numFmtId="4" fontId="1" fillId="0" borderId="41" xfId="0" applyNumberFormat="1" applyFont="1" applyFill="1" applyBorder="1" applyAlignment="1" applyProtection="1">
      <alignment horizontal="right" vertical="center"/>
    </xf>
    <xf numFmtId="4" fontId="1" fillId="0" borderId="38" xfId="0" applyNumberFormat="1" applyFont="1" applyFill="1" applyBorder="1" applyAlignment="1" applyProtection="1">
      <alignment horizontal="right" vertical="center"/>
    </xf>
    <xf numFmtId="49" fontId="17" fillId="0" borderId="12" xfId="0" applyNumberFormat="1" applyFont="1" applyBorder="1" applyAlignment="1">
      <alignment horizontal="center"/>
    </xf>
    <xf numFmtId="0" fontId="17" fillId="0" borderId="12" xfId="0" applyFont="1" applyBorder="1"/>
    <xf numFmtId="0" fontId="21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" fontId="17" fillId="0" borderId="12" xfId="0" applyNumberFormat="1" applyFont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" fontId="17" fillId="0" borderId="16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0" fontId="8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7" xfId="0" applyFont="1" applyFill="1" applyBorder="1" applyAlignment="1" applyProtection="1">
      <alignment horizontal="right" vertical="center" wrapText="1"/>
    </xf>
    <xf numFmtId="4" fontId="1" fillId="0" borderId="32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6" borderId="27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4" fontId="18" fillId="0" borderId="1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center" vertical="top"/>
    </xf>
    <xf numFmtId="4" fontId="18" fillId="0" borderId="12" xfId="0" applyNumberFormat="1" applyFont="1" applyBorder="1" applyAlignment="1" applyProtection="1">
      <alignment horizontal="right" vertical="center"/>
    </xf>
    <xf numFmtId="0" fontId="4" fillId="2" borderId="0" xfId="1" applyNumberFormat="1" applyFont="1" applyFill="1" applyProtection="1"/>
    <xf numFmtId="0" fontId="4" fillId="2" borderId="0" xfId="1" applyNumberFormat="1" applyFont="1" applyFill="1" applyAlignment="1" applyProtection="1">
      <alignment horizontal="right" vertical="center"/>
    </xf>
    <xf numFmtId="0" fontId="4" fillId="2" borderId="0" xfId="1" applyNumberFormat="1" applyFont="1" applyFill="1" applyBorder="1" applyProtection="1"/>
    <xf numFmtId="0" fontId="30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right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0" fontId="49" fillId="0" borderId="0" xfId="0" applyFont="1" applyAlignment="1" applyProtection="1">
      <alignment wrapText="1"/>
    </xf>
    <xf numFmtId="4" fontId="18" fillId="0" borderId="12" xfId="0" applyNumberFormat="1" applyFont="1" applyFill="1" applyBorder="1" applyAlignment="1" applyProtection="1">
      <alignment horizontal="right" vertical="center"/>
    </xf>
    <xf numFmtId="4" fontId="18" fillId="0" borderId="26" xfId="0" applyNumberFormat="1" applyFont="1" applyBorder="1" applyAlignment="1" applyProtection="1">
      <alignment horizontal="right" vertical="center"/>
    </xf>
    <xf numFmtId="4" fontId="18" fillId="0" borderId="27" xfId="0" applyNumberFormat="1" applyFont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center" vertical="top"/>
    </xf>
    <xf numFmtId="0" fontId="43" fillId="0" borderId="0" xfId="0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3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18" fillId="0" borderId="0" xfId="0" applyFont="1" applyBorder="1" applyProtection="1"/>
    <xf numFmtId="0" fontId="18" fillId="3" borderId="0" xfId="0" applyFont="1" applyFill="1" applyBorder="1" applyProtection="1"/>
    <xf numFmtId="0" fontId="4" fillId="2" borderId="0" xfId="1" applyFont="1" applyFill="1" applyProtection="1">
      <protection locked="0"/>
    </xf>
    <xf numFmtId="4" fontId="1" fillId="0" borderId="16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 wrapText="1"/>
    </xf>
    <xf numFmtId="4" fontId="18" fillId="0" borderId="0" xfId="0" applyNumberFormat="1" applyFont="1" applyBorder="1" applyAlignment="1" applyProtection="1">
      <alignment horizontal="right" vertical="center"/>
    </xf>
    <xf numFmtId="4" fontId="18" fillId="0" borderId="16" xfId="0" applyNumberFormat="1" applyFont="1" applyBorder="1" applyAlignment="1" applyProtection="1">
      <alignment horizontal="right" vertical="center"/>
    </xf>
    <xf numFmtId="0" fontId="49" fillId="0" borderId="0" xfId="0" applyFont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49" fillId="0" borderId="1" xfId="0" applyNumberFormat="1" applyFont="1" applyFill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5" xfId="0" applyFont="1" applyBorder="1" applyAlignment="1" applyProtection="1">
      <alignment horizontal="right"/>
    </xf>
    <xf numFmtId="0" fontId="49" fillId="0" borderId="5" xfId="0" applyFont="1" applyBorder="1" applyAlignment="1" applyProtection="1">
      <alignment horizontal="right" vertical="center" wrapText="1"/>
    </xf>
    <xf numFmtId="0" fontId="49" fillId="0" borderId="3" xfId="0" applyFont="1" applyBorder="1" applyAlignment="1" applyProtection="1">
      <alignment horizontal="center" vertical="center"/>
    </xf>
    <xf numFmtId="0" fontId="56" fillId="0" borderId="27" xfId="0" applyNumberFormat="1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right"/>
    </xf>
    <xf numFmtId="0" fontId="18" fillId="0" borderId="12" xfId="0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 applyProtection="1">
      <alignment horizontal="center" vertical="center"/>
    </xf>
    <xf numFmtId="4" fontId="18" fillId="0" borderId="27" xfId="0" applyNumberFormat="1" applyFont="1" applyFill="1" applyBorder="1" applyAlignment="1" applyProtection="1">
      <alignment horizontal="right" vertical="center"/>
    </xf>
    <xf numFmtId="0" fontId="1" fillId="0" borderId="18" xfId="0" applyFont="1" applyFill="1" applyBorder="1" applyAlignment="1" applyProtection="1">
      <alignment horizontal="right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6" borderId="4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1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0" fontId="41" fillId="2" borderId="0" xfId="1" applyFont="1" applyFill="1" applyBorder="1" applyAlignment="1" applyProtection="1">
      <alignment horizontal="left" vertical="center"/>
    </xf>
    <xf numFmtId="0" fontId="41" fillId="0" borderId="0" xfId="1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 wrapText="1"/>
    </xf>
    <xf numFmtId="0" fontId="7" fillId="2" borderId="0" xfId="1" applyFont="1" applyFill="1" applyProtection="1">
      <protection locked="0"/>
    </xf>
    <xf numFmtId="0" fontId="17" fillId="0" borderId="12" xfId="0" applyFont="1" applyBorder="1" applyAlignment="1">
      <alignment horizontal="center" vertical="center" wrapText="1"/>
    </xf>
    <xf numFmtId="49" fontId="17" fillId="0" borderId="12" xfId="0" applyNumberFormat="1" applyFont="1" applyBorder="1" applyAlignment="1" applyProtection="1">
      <alignment horizontal="center"/>
    </xf>
    <xf numFmtId="0" fontId="17" fillId="0" borderId="1" xfId="0" applyFont="1" applyBorder="1"/>
    <xf numFmtId="0" fontId="17" fillId="0" borderId="8" xfId="0" applyFont="1" applyBorder="1"/>
    <xf numFmtId="0" fontId="17" fillId="0" borderId="12" xfId="0" applyFont="1" applyBorder="1" applyProtection="1"/>
    <xf numFmtId="0" fontId="17" fillId="3" borderId="1" xfId="0" applyFont="1" applyFill="1" applyBorder="1"/>
    <xf numFmtId="4" fontId="1" fillId="0" borderId="23" xfId="0" applyNumberFormat="1" applyFont="1" applyFill="1" applyBorder="1" applyAlignment="1" applyProtection="1">
      <alignment horizontal="right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44" xfId="0" applyNumberFormat="1" applyFont="1" applyFill="1" applyBorder="1" applyAlignment="1" applyProtection="1">
      <alignment horizontal="right" vertical="center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"/>
    </xf>
    <xf numFmtId="4" fontId="17" fillId="0" borderId="12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Protection="1"/>
    <xf numFmtId="0" fontId="21" fillId="0" borderId="12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4" fontId="17" fillId="0" borderId="12" xfId="0" applyNumberFormat="1" applyFont="1" applyFill="1" applyBorder="1" applyProtection="1"/>
    <xf numFmtId="0" fontId="17" fillId="0" borderId="12" xfId="0" applyFont="1" applyFill="1" applyBorder="1" applyAlignment="1" applyProtection="1">
      <alignment horizontal="right" vertical="center"/>
    </xf>
    <xf numFmtId="0" fontId="21" fillId="0" borderId="12" xfId="0" applyFont="1" applyFill="1" applyBorder="1" applyAlignment="1" applyProtection="1">
      <alignment horizontal="center" vertical="center"/>
    </xf>
    <xf numFmtId="4" fontId="17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right"/>
    </xf>
    <xf numFmtId="4" fontId="21" fillId="0" borderId="12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0" fontId="2" fillId="0" borderId="18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7" borderId="27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right" wrapText="1"/>
    </xf>
    <xf numFmtId="4" fontId="18" fillId="0" borderId="29" xfId="0" applyNumberFormat="1" applyFont="1" applyBorder="1" applyAlignment="1" applyProtection="1">
      <alignment horizontal="right" vertical="center"/>
    </xf>
    <xf numFmtId="4" fontId="18" fillId="0" borderId="21" xfId="0" applyNumberFormat="1" applyFont="1" applyBorder="1" applyAlignment="1" applyProtection="1">
      <alignment horizontal="right" vertical="center"/>
    </xf>
    <xf numFmtId="4" fontId="18" fillId="0" borderId="17" xfId="0" applyNumberFormat="1" applyFont="1" applyBorder="1" applyAlignment="1" applyProtection="1">
      <alignment horizontal="right" vertical="center"/>
    </xf>
    <xf numFmtId="4" fontId="18" fillId="0" borderId="24" xfId="0" applyNumberFormat="1" applyFont="1" applyBorder="1" applyAlignment="1" applyProtection="1">
      <alignment horizontal="right" vertical="center"/>
    </xf>
    <xf numFmtId="4" fontId="18" fillId="0" borderId="45" xfId="0" applyNumberFormat="1" applyFont="1" applyBorder="1" applyAlignment="1" applyProtection="1">
      <alignment horizontal="right" vertical="center"/>
    </xf>
    <xf numFmtId="4" fontId="18" fillId="0" borderId="46" xfId="0" applyNumberFormat="1" applyFont="1" applyBorder="1" applyAlignment="1" applyProtection="1">
      <alignment horizontal="right" vertical="center"/>
    </xf>
    <xf numFmtId="4" fontId="18" fillId="0" borderId="4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" fillId="0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>
      <alignment horizontal="right"/>
    </xf>
    <xf numFmtId="0" fontId="1" fillId="6" borderId="29" xfId="0" applyFont="1" applyFill="1" applyBorder="1" applyAlignment="1" applyProtection="1">
      <alignment horizontal="center" vertical="center"/>
    </xf>
    <xf numFmtId="4" fontId="1" fillId="0" borderId="26" xfId="0" applyNumberFormat="1" applyFont="1" applyFill="1" applyBorder="1" applyAlignment="1" applyProtection="1">
      <alignment horizontal="right" vertical="center"/>
      <protection locked="0"/>
    </xf>
    <xf numFmtId="4" fontId="1" fillId="0" borderId="37" xfId="0" applyNumberFormat="1" applyFont="1" applyFill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</xf>
    <xf numFmtId="4" fontId="18" fillId="0" borderId="22" xfId="0" applyNumberFormat="1" applyFont="1" applyBorder="1" applyAlignment="1" applyProtection="1">
      <alignment horizontal="right" vertical="center"/>
    </xf>
    <xf numFmtId="4" fontId="18" fillId="0" borderId="27" xfId="0" applyNumberFormat="1" applyFont="1" applyFill="1" applyBorder="1" applyAlignment="1" applyProtection="1">
      <alignment horizontal="right" vertical="center" wrapText="1"/>
    </xf>
    <xf numFmtId="4" fontId="18" fillId="0" borderId="41" xfId="0" applyNumberFormat="1" applyFont="1" applyFill="1" applyBorder="1" applyAlignment="1" applyProtection="1">
      <alignment horizontal="right" vertical="center"/>
    </xf>
    <xf numFmtId="4" fontId="18" fillId="0" borderId="38" xfId="0" applyNumberFormat="1" applyFont="1" applyFill="1" applyBorder="1" applyAlignment="1" applyProtection="1">
      <alignment horizontal="right" vertical="center" wrapText="1"/>
    </xf>
    <xf numFmtId="0" fontId="4" fillId="2" borderId="0" xfId="1" applyNumberFormat="1" applyFont="1" applyFill="1" applyAlignment="1" applyProtection="1">
      <alignment horizontal="left" wrapText="1"/>
    </xf>
    <xf numFmtId="0" fontId="0" fillId="0" borderId="0" xfId="0" applyAlignment="1">
      <alignment horizontal="left" wrapText="1"/>
    </xf>
    <xf numFmtId="0" fontId="4" fillId="2" borderId="0" xfId="1" applyNumberFormat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4" fillId="2" borderId="0" xfId="1" applyNumberFormat="1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8" fillId="2" borderId="0" xfId="1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2" borderId="0" xfId="1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center"/>
    </xf>
    <xf numFmtId="0" fontId="6" fillId="2" borderId="0" xfId="0" applyNumberFormat="1" applyFont="1" applyFill="1" applyAlignment="1" applyProtection="1">
      <alignment horizontal="center"/>
    </xf>
    <xf numFmtId="0" fontId="25" fillId="0" borderId="0" xfId="1" applyNumberFormat="1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wrapText="1"/>
    </xf>
    <xf numFmtId="0" fontId="6" fillId="2" borderId="0" xfId="1" applyNumberFormat="1" applyFont="1" applyFill="1" applyAlignment="1" applyProtection="1">
      <alignment horizontal="center"/>
    </xf>
    <xf numFmtId="0" fontId="17" fillId="0" borderId="0" xfId="0" applyFont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 wrapText="1"/>
    </xf>
    <xf numFmtId="0" fontId="10" fillId="0" borderId="5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2" borderId="0" xfId="1" applyNumberFormat="1" applyFont="1" applyFill="1" applyAlignment="1" applyProtection="1">
      <alignment horizontal="right"/>
    </xf>
    <xf numFmtId="0" fontId="4" fillId="2" borderId="2" xfId="1" applyNumberFormat="1" applyFont="1" applyFill="1" applyBorder="1" applyAlignment="1" applyProtection="1">
      <alignment horizontal="center"/>
    </xf>
    <xf numFmtId="49" fontId="4" fillId="2" borderId="0" xfId="1" applyNumberFormat="1" applyFont="1" applyFill="1" applyBorder="1" applyAlignment="1" applyProtection="1">
      <alignment horizontal="left"/>
    </xf>
    <xf numFmtId="0" fontId="21" fillId="0" borderId="0" xfId="0" applyFont="1" applyAlignment="1" applyProtection="1">
      <alignment horizontal="center" vertical="center" wrapText="1"/>
    </xf>
    <xf numFmtId="0" fontId="8" fillId="2" borderId="0" xfId="1" applyNumberFormat="1" applyFont="1" applyFill="1" applyAlignment="1" applyProtection="1">
      <alignment horizontal="center" vertical="center" wrapText="1"/>
    </xf>
    <xf numFmtId="0" fontId="17" fillId="0" borderId="0" xfId="0" applyNumberFormat="1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0" xfId="1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center" vertical="top"/>
    </xf>
    <xf numFmtId="0" fontId="4" fillId="2" borderId="0" xfId="1" applyNumberFormat="1" applyFont="1" applyFill="1" applyProtection="1"/>
    <xf numFmtId="0" fontId="5" fillId="2" borderId="0" xfId="1" applyNumberFormat="1" applyFont="1" applyFill="1" applyBorder="1" applyAlignment="1" applyProtection="1">
      <alignment horizontal="center" vertical="top"/>
    </xf>
    <xf numFmtId="0" fontId="48" fillId="2" borderId="0" xfId="1" applyNumberFormat="1" applyFont="1" applyFill="1" applyBorder="1" applyAlignment="1" applyProtection="1">
      <alignment horizontal="center" vertical="top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Alignment="1" applyProtection="1">
      <alignment horizontal="center"/>
    </xf>
    <xf numFmtId="0" fontId="4" fillId="2" borderId="0" xfId="1" applyNumberFormat="1" applyFont="1" applyFill="1" applyAlignment="1" applyProtection="1">
      <alignment horizontal="center"/>
    </xf>
    <xf numFmtId="0" fontId="4" fillId="2" borderId="20" xfId="1" applyNumberFormat="1" applyFont="1" applyFill="1" applyBorder="1" applyAlignment="1" applyProtection="1">
      <alignment horizontal="center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wrapText="1"/>
    </xf>
    <xf numFmtId="0" fontId="4" fillId="2" borderId="2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6" fillId="2" borderId="20" xfId="1" applyNumberFormat="1" applyFont="1" applyFill="1" applyBorder="1" applyAlignment="1" applyProtection="1">
      <alignment horizontal="center"/>
    </xf>
    <xf numFmtId="0" fontId="4" fillId="2" borderId="2" xfId="1" applyNumberFormat="1" applyFont="1" applyFill="1" applyBorder="1" applyAlignment="1" applyProtection="1">
      <alignment horizontal="left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9" xfId="1" applyNumberFormat="1" applyFont="1" applyFill="1" applyBorder="1" applyAlignment="1" applyProtection="1">
      <alignment horizontal="center" vertical="center"/>
    </xf>
    <xf numFmtId="0" fontId="4" fillId="4" borderId="8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2" borderId="0" xfId="1" applyNumberFormat="1" applyFont="1" applyFill="1" applyAlignment="1" applyProtection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0" fontId="20" fillId="0" borderId="20" xfId="0" applyNumberFormat="1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0" fillId="0" borderId="20" xfId="0" applyNumberFormat="1" applyBorder="1" applyAlignment="1" applyProtection="1">
      <alignment horizontal="center" vertical="center" wrapText="1"/>
    </xf>
    <xf numFmtId="0" fontId="39" fillId="2" borderId="7" xfId="1" applyNumberFormat="1" applyFont="1" applyFill="1" applyBorder="1" applyAlignment="1" applyProtection="1">
      <alignment horizontal="center" vertical="center" wrapText="1"/>
    </xf>
    <xf numFmtId="0" fontId="23" fillId="0" borderId="9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center" vertical="center" wrapText="1"/>
    </xf>
    <xf numFmtId="0" fontId="4" fillId="2" borderId="0" xfId="1" applyNumberFormat="1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 wrapText="1"/>
    </xf>
    <xf numFmtId="0" fontId="43" fillId="0" borderId="2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0" fontId="8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2" borderId="0" xfId="1" applyNumberFormat="1" applyFont="1" applyFill="1" applyBorder="1" applyAlignment="1" applyProtection="1">
      <alignment horizontal="center" wrapText="1"/>
    </xf>
    <xf numFmtId="0" fontId="42" fillId="0" borderId="0" xfId="0" applyFont="1" applyBorder="1" applyAlignment="1" applyProtection="1">
      <alignment horizontal="center" wrapText="1"/>
    </xf>
    <xf numFmtId="0" fontId="18" fillId="0" borderId="0" xfId="0" applyFont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right" vertical="center" wrapText="1"/>
    </xf>
    <xf numFmtId="0" fontId="4" fillId="2" borderId="0" xfId="1" applyNumberFormat="1" applyFont="1" applyFill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7" fillId="0" borderId="12" xfId="0" applyFont="1" applyBorder="1" applyAlignment="1" applyProtection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7" fillId="0" borderId="0" xfId="0" applyNumberFormat="1" applyFont="1" applyFill="1" applyBorder="1" applyAlignment="1" applyProtection="1">
      <alignment horizontal="center" vertical="top" wrapText="1"/>
    </xf>
    <xf numFmtId="0" fontId="47" fillId="0" borderId="16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1" fillId="0" borderId="12" xfId="0" applyFont="1" applyBorder="1" applyAlignment="1" applyProtection="1">
      <alignment horizontal="center" vertical="center" wrapText="1"/>
    </xf>
    <xf numFmtId="0" fontId="47" fillId="0" borderId="14" xfId="0" applyFont="1" applyBorder="1" applyAlignment="1" applyProtection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7" fillId="0" borderId="26" xfId="0" applyFont="1" applyBorder="1" applyAlignment="1" applyProtection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47" fillId="0" borderId="27" xfId="0" applyFont="1" applyBorder="1" applyAlignment="1" applyProtection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left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7" fillId="0" borderId="29" xfId="0" applyFont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0" fillId="0" borderId="40" xfId="0" applyBorder="1" applyAlignment="1">
      <alignment horizontal="center" vertical="center" textRotation="90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7" fillId="0" borderId="19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35" fillId="0" borderId="0" xfId="0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20" xfId="0" applyFont="1" applyBorder="1" applyAlignment="1"/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wrapText="1"/>
    </xf>
    <xf numFmtId="0" fontId="44" fillId="0" borderId="0" xfId="0" applyFont="1" applyAlignment="1" applyProtection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0" fontId="50" fillId="0" borderId="0" xfId="0" applyFont="1" applyAlignment="1">
      <alignment vertical="center" wrapText="1"/>
    </xf>
    <xf numFmtId="0" fontId="49" fillId="0" borderId="0" xfId="0" applyFont="1" applyAlignment="1" applyProtection="1">
      <alignment wrapText="1"/>
    </xf>
    <xf numFmtId="0" fontId="49" fillId="0" borderId="2" xfId="0" applyFont="1" applyBorder="1" applyAlignment="1" applyProtection="1">
      <alignment wrapText="1"/>
    </xf>
    <xf numFmtId="0" fontId="49" fillId="0" borderId="0" xfId="0" applyFont="1" applyBorder="1" applyAlignment="1" applyProtection="1">
      <alignment horizontal="center" wrapText="1"/>
    </xf>
    <xf numFmtId="0" fontId="49" fillId="0" borderId="0" xfId="0" applyFont="1" applyBorder="1" applyAlignment="1">
      <alignment horizontal="center" wrapText="1"/>
    </xf>
    <xf numFmtId="0" fontId="49" fillId="0" borderId="20" xfId="0" applyFont="1" applyBorder="1" applyAlignment="1">
      <alignment horizontal="center" wrapText="1"/>
    </xf>
    <xf numFmtId="0" fontId="49" fillId="0" borderId="0" xfId="0" applyFont="1" applyBorder="1" applyAlignment="1" applyProtection="1">
      <alignment horizontal="right" vertical="center" wrapText="1"/>
    </xf>
    <xf numFmtId="0" fontId="49" fillId="0" borderId="5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6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49" fillId="0" borderId="0" xfId="0" applyFont="1" applyBorder="1" applyAlignment="1" applyProtection="1">
      <alignment horizontal="right" wrapText="1"/>
    </xf>
    <xf numFmtId="0" fontId="49" fillId="0" borderId="5" xfId="0" applyFont="1" applyBorder="1" applyAlignment="1" applyProtection="1">
      <alignment wrapText="1"/>
    </xf>
    <xf numFmtId="0" fontId="49" fillId="0" borderId="2" xfId="0" applyFont="1" applyBorder="1" applyAlignment="1" applyProtection="1">
      <alignment horizontal="right" vertical="center" wrapText="1"/>
    </xf>
    <xf numFmtId="0" fontId="49" fillId="0" borderId="6" xfId="0" applyFont="1" applyBorder="1" applyAlignment="1" applyProtection="1">
      <alignment vertical="center" wrapText="1"/>
    </xf>
    <xf numFmtId="0" fontId="50" fillId="0" borderId="0" xfId="0" applyFont="1" applyAlignment="1">
      <alignment wrapText="1"/>
    </xf>
    <xf numFmtId="0" fontId="44" fillId="0" borderId="10" xfId="0" applyFont="1" applyBorder="1" applyAlignment="1" applyProtection="1">
      <alignment horizontal="center" vertical="center" wrapText="1"/>
    </xf>
    <xf numFmtId="0" fontId="55" fillId="0" borderId="10" xfId="0" applyFont="1" applyBorder="1" applyAlignment="1" applyProtection="1">
      <alignment wrapText="1"/>
    </xf>
    <xf numFmtId="0" fontId="55" fillId="0" borderId="0" xfId="0" applyFont="1" applyAlignment="1" applyProtection="1">
      <alignment wrapText="1"/>
    </xf>
    <xf numFmtId="0" fontId="49" fillId="0" borderId="10" xfId="0" applyFont="1" applyBorder="1" applyAlignment="1" applyProtection="1">
      <alignment horizontal="center" vertical="center" wrapText="1"/>
    </xf>
    <xf numFmtId="0" fontId="50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center" vertical="top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5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wrapText="1"/>
    </xf>
    <xf numFmtId="0" fontId="18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left" wrapText="1"/>
    </xf>
    <xf numFmtId="0" fontId="24" fillId="0" borderId="20" xfId="0" applyFont="1" applyBorder="1" applyAlignment="1" applyProtection="1">
      <alignment horizontal="center" vertical="center" wrapText="1"/>
    </xf>
    <xf numFmtId="0" fontId="54" fillId="0" borderId="0" xfId="0" applyFont="1" applyBorder="1" applyAlignment="1">
      <alignment wrapText="1"/>
    </xf>
    <xf numFmtId="0" fontId="5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wrapText="1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9" fillId="0" borderId="17" xfId="0" applyFont="1" applyBorder="1" applyAlignment="1" applyProtection="1">
      <alignment horizontal="center" vertical="center" textRotation="90" wrapText="1"/>
    </xf>
    <xf numFmtId="0" fontId="50" fillId="0" borderId="42" xfId="0" applyFont="1" applyBorder="1" applyAlignment="1">
      <alignment textRotation="90" wrapText="1"/>
    </xf>
    <xf numFmtId="0" fontId="50" fillId="0" borderId="18" xfId="0" applyFont="1" applyBorder="1" applyAlignment="1">
      <alignment textRotation="90" wrapText="1"/>
    </xf>
    <xf numFmtId="0" fontId="50" fillId="0" borderId="42" xfId="0" applyFont="1" applyBorder="1" applyAlignment="1">
      <alignment horizontal="center" wrapText="1"/>
    </xf>
    <xf numFmtId="0" fontId="50" fillId="0" borderId="18" xfId="0" applyFont="1" applyBorder="1" applyAlignment="1">
      <alignment horizontal="center" wrapText="1"/>
    </xf>
    <xf numFmtId="0" fontId="50" fillId="0" borderId="42" xfId="0" applyFont="1" applyBorder="1" applyAlignment="1">
      <alignment wrapText="1"/>
    </xf>
    <xf numFmtId="0" fontId="50" fillId="0" borderId="18" xfId="0" applyFont="1" applyBorder="1" applyAlignment="1">
      <alignment wrapText="1"/>
    </xf>
    <xf numFmtId="0" fontId="18" fillId="0" borderId="17" xfId="0" applyFont="1" applyBorder="1" applyAlignment="1" applyProtection="1">
      <alignment horizontal="center" vertical="center" textRotation="90" wrapText="1"/>
    </xf>
    <xf numFmtId="0" fontId="0" fillId="0" borderId="42" xfId="0" applyBorder="1" applyAlignment="1">
      <alignment wrapText="1"/>
    </xf>
    <xf numFmtId="0" fontId="0" fillId="0" borderId="18" xfId="0" applyBorder="1" applyAlignment="1">
      <alignment wrapText="1"/>
    </xf>
    <xf numFmtId="0" fontId="49" fillId="0" borderId="17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18" fillId="0" borderId="43" xfId="0" applyFont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netaexcel.ru/techniques/1/38/" TargetMode="External"/><Relationship Id="rId2" Type="http://schemas.openxmlformats.org/officeDocument/2006/relationships/hyperlink" Target="https://www.planetaexcel.ru/techniques/2/92/" TargetMode="External"/><Relationship Id="rId1" Type="http://schemas.openxmlformats.org/officeDocument/2006/relationships/hyperlink" Target="http://www.planetaexcel.ru/techniques/2/81/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D56"/>
  <sheetViews>
    <sheetView tabSelected="1" view="pageBreakPreview" zoomScale="150" zoomScaleNormal="145" zoomScaleSheetLayoutView="150" workbookViewId="0">
      <selection activeCell="A8" sqref="A8:DD12"/>
    </sheetView>
  </sheetViews>
  <sheetFormatPr defaultColWidth="0.88671875" defaultRowHeight="13.2" x14ac:dyDescent="0.25"/>
  <cols>
    <col min="1" max="14" width="0.88671875" style="2"/>
    <col min="15" max="15" width="0.88671875" style="2" customWidth="1"/>
    <col min="16" max="67" width="0.88671875" style="2"/>
    <col min="68" max="68" width="3.109375" style="2" customWidth="1"/>
    <col min="69" max="69" width="0.109375" style="2" customWidth="1"/>
    <col min="70" max="71" width="0.88671875" style="2" hidden="1" customWidth="1"/>
    <col min="72" max="72" width="1.88671875" style="2" customWidth="1"/>
    <col min="73" max="78" width="0.88671875" style="2"/>
    <col min="79" max="80" width="0.88671875" style="2" customWidth="1"/>
    <col min="81" max="100" width="0.88671875" style="2"/>
    <col min="101" max="101" width="0.88671875" style="2" customWidth="1"/>
    <col min="102" max="105" width="0.88671875" style="2"/>
    <col min="106" max="106" width="0.88671875" style="2" customWidth="1"/>
    <col min="107" max="107" width="0.88671875" style="2" hidden="1" customWidth="1"/>
    <col min="108" max="108" width="1.44140625" style="2" customWidth="1"/>
    <col min="109" max="109" width="8.109375" style="2" customWidth="1"/>
    <col min="110" max="110" width="7.6640625" style="2" customWidth="1"/>
    <col min="111" max="111" width="5" style="2" bestFit="1" customWidth="1"/>
    <col min="112" max="112" width="3.109375" style="2" customWidth="1"/>
    <col min="113" max="148" width="4" style="2" customWidth="1"/>
    <col min="149" max="16384" width="0.88671875" style="2"/>
  </cols>
  <sheetData>
    <row r="1" spans="1:160" ht="13.2" customHeight="1" x14ac:dyDescent="0.3">
      <c r="A1" s="173"/>
      <c r="B1" s="173"/>
      <c r="C1" s="173"/>
      <c r="D1" s="173"/>
      <c r="E1" s="357" t="str">
        <f>IF((INDEX(УЧРЕЖДЕНИЯ!$I$14:$I$52,MATCH($CO$20,УЧРЕЖДЕНИЯ!$C$14:$C$52,0)))="АУ",DE2,"")</f>
        <v>РАССМОТРЕНО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 t="str">
        <f>IF(A8="НЕ ВЕРНЫЙ","НЕ УТВЕРЖДАЮ","УТВЕРЖДАЮ")</f>
        <v>УТВЕРЖДАЮ</v>
      </c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16" t="s">
        <v>925</v>
      </c>
      <c r="DF1" s="317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320"/>
      <c r="EL1" s="325"/>
      <c r="EM1" s="325"/>
      <c r="EN1" s="325"/>
      <c r="EO1" s="325"/>
      <c r="EP1" s="325"/>
      <c r="EQ1" s="325"/>
      <c r="ER1" s="325"/>
      <c r="ES1" s="325"/>
      <c r="ET1" s="325"/>
      <c r="EU1" s="320"/>
      <c r="EV1" s="325"/>
      <c r="EW1" s="325"/>
      <c r="EX1" s="325"/>
      <c r="EY1" s="325"/>
      <c r="EZ1" s="325"/>
      <c r="FA1" s="325"/>
      <c r="FB1" s="325"/>
      <c r="FC1" s="325"/>
      <c r="FD1" s="325"/>
    </row>
    <row r="2" spans="1:160" x14ac:dyDescent="0.25">
      <c r="E2" s="358" t="str">
        <f>IF((INDEX(УЧРЕЖДЕНИЯ!$I$14:$I$52,MATCH($CO$20,УЧРЕЖДЕНИЯ!$C$14:$C$52,0)))="АУ",DE3,"")</f>
        <v>на заседании Наблюдательного совета</v>
      </c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DE2" s="358" t="str">
        <f>IF(A8="НЕ ВЕРНЫЙ","НЕ РАССМОТРЕНО","РАССМОТРЕНО")</f>
        <v>РАССМОТРЕНО</v>
      </c>
      <c r="DF2" s="358"/>
      <c r="DG2" s="358"/>
      <c r="DH2" s="358"/>
      <c r="DI2" s="358"/>
      <c r="DJ2" s="358"/>
      <c r="DK2" s="358"/>
      <c r="DL2" s="358"/>
      <c r="DM2" s="358"/>
      <c r="DN2" s="358"/>
      <c r="DO2" s="358"/>
      <c r="DP2" s="358"/>
      <c r="DQ2" s="358"/>
      <c r="DR2" s="358"/>
      <c r="DS2" s="358"/>
      <c r="DT2" s="358"/>
      <c r="DU2" s="358"/>
      <c r="DV2" s="358"/>
      <c r="DW2" s="358"/>
      <c r="DX2" s="358"/>
      <c r="DY2" s="358"/>
      <c r="DZ2" s="358"/>
      <c r="EA2" s="358"/>
      <c r="EB2" s="358"/>
      <c r="EC2" s="358"/>
      <c r="ED2" s="358"/>
      <c r="EE2" s="358"/>
      <c r="EF2" s="358"/>
      <c r="EG2" s="358"/>
      <c r="EH2" s="358"/>
      <c r="EI2" s="358"/>
      <c r="EJ2" s="358"/>
      <c r="EK2" s="358"/>
      <c r="EL2" s="358"/>
      <c r="EM2" s="358"/>
      <c r="EN2" s="358"/>
      <c r="EO2" s="358"/>
      <c r="EP2" s="358"/>
      <c r="EQ2" s="358"/>
      <c r="ER2" s="358"/>
      <c r="ES2" s="358"/>
      <c r="ET2" s="358"/>
      <c r="EU2" s="358"/>
      <c r="EV2" s="358"/>
      <c r="EW2" s="358"/>
      <c r="EX2" s="358"/>
      <c r="EY2" s="358"/>
      <c r="EZ2" s="358"/>
      <c r="FA2" s="358"/>
      <c r="FB2" s="358"/>
      <c r="FC2" s="358"/>
      <c r="FD2" s="358"/>
    </row>
    <row r="3" spans="1:160" x14ac:dyDescent="0.25">
      <c r="E3" s="356" t="str">
        <f>IF((INDEX(УЧРЕЖДЕНИЯ!$I$14:$I$52,MATCH($CO$20,УЧРЕЖДЕНИЯ!$C$14:$C$52,0)))="АУ",DE4,"")</f>
        <v>Муниципальное автономное учреждение "Физкультурно-оздоровительный комплекс "Атлант" в г.Шахунья"</v>
      </c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62" t="str">
        <f>INDEX(УЧРЕЖДЕНИЯ!J14:J52,MATCH(ТИТУЛ!CO20,УЧРЕЖДЕНИЯ!C14:C52,0))</f>
        <v>Директор</v>
      </c>
      <c r="BF3" s="362"/>
      <c r="BG3" s="362"/>
      <c r="BH3" s="362"/>
      <c r="BI3" s="362"/>
      <c r="BJ3" s="362"/>
      <c r="BK3" s="362"/>
      <c r="BL3" s="362"/>
      <c r="BM3" s="362"/>
      <c r="BN3" s="362"/>
      <c r="BO3" s="362"/>
      <c r="BP3" s="362"/>
      <c r="BQ3" s="362"/>
      <c r="BR3" s="362"/>
      <c r="BS3" s="362"/>
      <c r="BT3" s="362"/>
      <c r="BU3" s="362"/>
      <c r="BV3" s="362"/>
      <c r="BW3" s="362"/>
      <c r="BX3" s="362"/>
      <c r="BY3" s="362"/>
      <c r="BZ3" s="362"/>
      <c r="CA3" s="362"/>
      <c r="CB3" s="362"/>
      <c r="CC3" s="362"/>
      <c r="CD3" s="362"/>
      <c r="CE3" s="362"/>
      <c r="CF3" s="362"/>
      <c r="CG3" s="362"/>
      <c r="CH3" s="362"/>
      <c r="CI3" s="362"/>
      <c r="CJ3" s="362"/>
      <c r="CK3" s="362"/>
      <c r="CL3" s="362"/>
      <c r="CM3" s="362"/>
      <c r="CN3" s="362"/>
      <c r="CO3" s="362"/>
      <c r="CP3" s="362"/>
      <c r="CQ3" s="362"/>
      <c r="CR3" s="362"/>
      <c r="CS3" s="362"/>
      <c r="CT3" s="362"/>
      <c r="CU3" s="362"/>
      <c r="CV3" s="362"/>
      <c r="CW3" s="362"/>
      <c r="CX3" s="362"/>
      <c r="CY3" s="362"/>
      <c r="CZ3" s="362"/>
      <c r="DA3" s="362"/>
      <c r="DB3" s="362"/>
      <c r="DC3" s="362"/>
      <c r="DD3" s="362"/>
      <c r="DE3" s="329" t="s">
        <v>648</v>
      </c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</row>
    <row r="4" spans="1:160" s="3" customFormat="1" ht="15.75" customHeight="1" x14ac:dyDescent="0.2"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363"/>
      <c r="CS4" s="363"/>
      <c r="CT4" s="363"/>
      <c r="CU4" s="363"/>
      <c r="CV4" s="363"/>
      <c r="CW4" s="363"/>
      <c r="CX4" s="363"/>
      <c r="CY4" s="363"/>
      <c r="CZ4" s="363"/>
      <c r="DA4" s="363"/>
      <c r="DB4" s="363"/>
      <c r="DC4" s="363"/>
      <c r="DD4" s="363"/>
      <c r="DE4" s="360" t="str">
        <f>P19</f>
        <v>Муниципальное автономное учреждение "Физкультурно-оздоровительный комплекс "Атлант" в г.Шахунья"</v>
      </c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</row>
    <row r="5" spans="1:160" ht="24" customHeight="1" x14ac:dyDescent="0.3"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64" t="str">
        <f>IF(OR(A8="НЕ ВЕРНЫЙ"),"НЕТ ПОДПИСИ","")</f>
        <v/>
      </c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173"/>
      <c r="BZ5" s="359" t="str">
        <f>INDEX(УЧРЕЖДЕНИЯ!K14:K52,MATCH(ТИТУЛ!CO20,УЧРЕЖДЕНИЯ!C14:C52,0))</f>
        <v>Габдулин Шамиль Рауильевич</v>
      </c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  <c r="CZ5" s="359"/>
      <c r="DA5" s="359"/>
      <c r="DB5" s="359"/>
      <c r="DC5" s="359"/>
      <c r="DD5" s="359"/>
      <c r="DE5" s="361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1"/>
      <c r="DX5" s="361"/>
      <c r="DY5" s="361"/>
      <c r="DZ5" s="361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  <c r="FD5" s="361"/>
    </row>
    <row r="6" spans="1:160" s="3" customFormat="1" ht="14.4" x14ac:dyDescent="0.3">
      <c r="A6" s="4"/>
      <c r="B6" s="5"/>
      <c r="C6" s="5"/>
      <c r="D6" s="5"/>
      <c r="E6" s="340" t="str">
        <f>IF((INDEX(УЧРЕЖДЕНИЯ!$I$14:$I$52,MATCH($CO$20,УЧРЕЖДЕНИЯ!$C$14:$C$52,0)))="АУ",DE6,"")</f>
        <v>Протокол № ___________ от</v>
      </c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55" t="s">
        <v>143</v>
      </c>
      <c r="BF6" s="355"/>
      <c r="BG6" s="355"/>
      <c r="BH6" s="355"/>
      <c r="BI6" s="355"/>
      <c r="BJ6" s="355"/>
      <c r="BK6" s="355"/>
      <c r="BL6" s="355"/>
      <c r="BM6" s="355"/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6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40" t="s">
        <v>126</v>
      </c>
      <c r="DF6" s="340"/>
      <c r="DG6" s="340"/>
      <c r="DH6" s="340"/>
      <c r="DI6" s="340"/>
      <c r="DJ6" s="340"/>
      <c r="DK6" s="340"/>
      <c r="DL6" s="340"/>
      <c r="DM6" s="340"/>
      <c r="DN6" s="340"/>
      <c r="DO6" s="340"/>
      <c r="DP6" s="340"/>
      <c r="DQ6" s="340"/>
      <c r="DR6" s="340"/>
      <c r="DS6" s="340"/>
      <c r="DT6" s="340"/>
      <c r="DU6" s="340"/>
      <c r="DV6" s="340"/>
      <c r="DW6" s="340"/>
      <c r="DX6" s="340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</row>
    <row r="7" spans="1:160" ht="14.4" x14ac:dyDescent="0.3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5"/>
      <c r="N7" s="351" t="str">
        <f>IF((INDEX(УЧРЕЖДЕНИЯ!$I$14:$I$52,MATCH($CO$20,УЧРЕЖДЕНИЯ!$C$14:$C$52,0)))="АУ",DN7,"")</f>
        <v>"</v>
      </c>
      <c r="O7" s="351"/>
      <c r="P7" s="329">
        <f>IF((INDEX(УЧРЕЖДЕНИЯ!$I$14:$I$52,MATCH($CO$20,УЧРЕЖДЕНИЯ!$C$14:$C$52,0)))="АУ",DP7,"")</f>
        <v>4</v>
      </c>
      <c r="Q7" s="329"/>
      <c r="R7" s="329"/>
      <c r="S7" s="329"/>
      <c r="T7" s="328" t="str">
        <f>IF((INDEX(УЧРЕЖДЕНИЯ!$I$14:$I$52,MATCH($CO$20,УЧРЕЖДЕНИЯ!$C$14:$C$52,0)))="АУ",DT7,"")</f>
        <v>"</v>
      </c>
      <c r="U7" s="328"/>
      <c r="V7" s="329" t="str">
        <f>IF((INDEX(УЧРЕЖДЕНИЯ!$I$14:$I$52,MATCH($CO$20,УЧРЕЖДЕНИЯ!$C$14:$C$52,0)))="АУ",DV7,"")</f>
        <v>ЯНВАРЯ</v>
      </c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40">
        <f>IF((INDEX(УЧРЕЖДЕНИЯ!$I$14:$I$52,MATCH($CO$20,УЧРЕЖДЕНИЯ!$C$14:$C$52,0)))="АУ",EN7,"")</f>
        <v>2022</v>
      </c>
      <c r="AL7" s="372"/>
      <c r="AM7" s="372"/>
      <c r="AN7" s="372"/>
      <c r="AO7" s="372"/>
      <c r="AP7" s="372"/>
      <c r="AQ7" s="372"/>
      <c r="AR7" s="173" t="str">
        <f>IF((INDEX(УЧРЕЖДЕНИЯ!$I$14:$I$52,MATCH($CO$20,УЧРЕЖДЕНИЯ!$C$14:$C$52,0)))="АУ",ER7,"")</f>
        <v>Г.</v>
      </c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5" t="s">
        <v>138</v>
      </c>
      <c r="BH7" s="173"/>
      <c r="BI7" s="173"/>
      <c r="BJ7" s="173"/>
      <c r="BK7" s="173"/>
      <c r="BL7" s="173"/>
      <c r="BM7" s="173"/>
      <c r="BN7" s="342"/>
      <c r="BO7" s="342"/>
      <c r="BP7" s="329"/>
      <c r="BQ7" s="329"/>
      <c r="BR7" s="329"/>
      <c r="BS7" s="329"/>
      <c r="BT7" s="328"/>
      <c r="BU7" s="328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51"/>
      <c r="CL7" s="351"/>
      <c r="CM7" s="351"/>
      <c r="CN7" s="344"/>
      <c r="CO7" s="344"/>
      <c r="CP7" s="344"/>
      <c r="CQ7" s="344"/>
      <c r="CR7" s="175"/>
      <c r="CS7" s="175"/>
      <c r="CT7" s="175"/>
      <c r="CU7" s="175"/>
      <c r="CV7" s="175"/>
      <c r="CW7" s="175"/>
      <c r="CX7" s="175"/>
      <c r="CY7" s="173"/>
      <c r="CZ7" s="173"/>
      <c r="DA7" s="173"/>
      <c r="DB7" s="173"/>
      <c r="DC7" s="173"/>
      <c r="DD7" s="173"/>
      <c r="DE7" s="318" t="s">
        <v>712</v>
      </c>
      <c r="DF7" s="319"/>
      <c r="DG7" s="319"/>
      <c r="DH7" s="319"/>
      <c r="DI7" s="319"/>
      <c r="DJ7" s="319"/>
      <c r="DK7" s="173"/>
      <c r="DL7" s="173"/>
      <c r="DM7" s="173"/>
      <c r="DN7" s="342" t="s">
        <v>7</v>
      </c>
      <c r="DO7" s="342"/>
      <c r="DP7" s="343">
        <f>DF8</f>
        <v>4</v>
      </c>
      <c r="DQ7" s="343"/>
      <c r="DR7" s="343"/>
      <c r="DS7" s="343"/>
      <c r="DT7" s="353" t="s">
        <v>7</v>
      </c>
      <c r="DU7" s="353"/>
      <c r="DV7" s="343" t="str">
        <f>DF9</f>
        <v>ЯНВАРЯ</v>
      </c>
      <c r="DW7" s="343"/>
      <c r="DX7" s="343"/>
      <c r="DY7" s="343"/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51"/>
      <c r="EL7" s="351"/>
      <c r="EM7" s="351"/>
      <c r="EN7" s="365">
        <f>DF10</f>
        <v>2022</v>
      </c>
      <c r="EO7" s="365"/>
      <c r="EP7" s="365"/>
      <c r="EQ7" s="365"/>
      <c r="ER7" s="173" t="s">
        <v>746</v>
      </c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</row>
    <row r="8" spans="1:160" x14ac:dyDescent="0.25">
      <c r="A8" s="331" t="str">
        <f>IF(OR(ПОКАЗАТЕЛИ!J348="НЕТ ПОДПИСИ",A27="НЕ ЗАПОЛНЕНО",IF('ИНЫЕ ЦЕЛИ'!A1="НЕ ПЕЧАТАЕТЬСЯ",FALSE,IF('ИНЫЕ ЦЕЛИ'!J93="НЕТ ПОДПИСИ",TRUE,FALSE)),BV22="НЕ ВЕРНО"),"НЕ ВЕРНЫЙ","")</f>
        <v/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2" t="s">
        <v>749</v>
      </c>
      <c r="DF8" s="213">
        <v>4</v>
      </c>
    </row>
    <row r="9" spans="1:160" ht="12.75" customHeight="1" x14ac:dyDescent="0.25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2" t="s">
        <v>750</v>
      </c>
      <c r="DF9" s="213" t="s">
        <v>751</v>
      </c>
    </row>
    <row r="10" spans="1:160" ht="12.75" customHeight="1" x14ac:dyDescent="0.25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2" t="s">
        <v>912</v>
      </c>
      <c r="DF10" s="213">
        <v>2022</v>
      </c>
      <c r="DG10" s="213">
        <v>2022</v>
      </c>
    </row>
    <row r="11" spans="1:160" ht="12.75" customHeight="1" x14ac:dyDescent="0.25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2" t="s">
        <v>762</v>
      </c>
      <c r="DF11" s="213" t="s">
        <v>629</v>
      </c>
    </row>
    <row r="12" spans="1:160" ht="12.75" customHeight="1" x14ac:dyDescent="0.25">
      <c r="A12" s="333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2" t="s">
        <v>763</v>
      </c>
      <c r="DF12" s="213"/>
    </row>
    <row r="13" spans="1:160" s="7" customFormat="1" ht="15.6" x14ac:dyDescent="0.3">
      <c r="A13" s="334" t="s">
        <v>748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" t="s">
        <v>875</v>
      </c>
      <c r="DF13" s="252" t="s">
        <v>876</v>
      </c>
      <c r="DG13" s="239">
        <f t="array" ref="DG13">IFERROR(INDEX(DE14:DE19,MATCH(DF13,DF14:DF19),0),"")</f>
        <v>1</v>
      </c>
    </row>
    <row r="14" spans="1:160" s="8" customFormat="1" ht="18" x14ac:dyDescent="0.3">
      <c r="A14" s="330" t="str">
        <f>CONCATENATE("НА ",DG10," ГОД"," И НА ПЛАНОВЫЙ ПЕРИОД ",DG10+1," И ",DG10+2," ГОДОВ")</f>
        <v>НА 2022 ГОД И НА ПЛАНОВЫЙ ПЕРИОД 2023 И 2024 ГОДОВ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0"/>
      <c r="CM14" s="330"/>
      <c r="CN14" s="330"/>
      <c r="CO14" s="330"/>
      <c r="CP14" s="330"/>
      <c r="CQ14" s="330"/>
      <c r="CR14" s="330"/>
      <c r="CS14" s="330"/>
      <c r="CT14" s="330"/>
      <c r="CU14" s="330"/>
      <c r="CV14" s="330"/>
      <c r="CW14" s="330"/>
      <c r="CX14" s="330"/>
      <c r="CY14" s="330"/>
      <c r="CZ14" s="330"/>
      <c r="DA14" s="330"/>
      <c r="DB14" s="330"/>
      <c r="DC14" s="330"/>
      <c r="DD14" s="330"/>
      <c r="DE14" s="240">
        <v>1</v>
      </c>
      <c r="DF14" s="246" t="s">
        <v>876</v>
      </c>
    </row>
    <row r="15" spans="1:160" ht="12.75" customHeight="1" x14ac:dyDescent="0.25">
      <c r="A15" s="373" t="str">
        <f>CONCATENATE("ОТ ",DF8," ",DF9," ",DF10," Г.")</f>
        <v>ОТ 4 ЯНВАРЯ 2022 Г.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4"/>
      <c r="BD15" s="374"/>
      <c r="BE15" s="374"/>
      <c r="BF15" s="374"/>
      <c r="BG15" s="374"/>
      <c r="BH15" s="374"/>
      <c r="BI15" s="374"/>
      <c r="BJ15" s="374"/>
      <c r="BK15" s="374"/>
      <c r="BL15" s="374"/>
      <c r="BM15" s="374"/>
      <c r="BN15" s="374"/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241">
        <v>2</v>
      </c>
      <c r="DF15" s="247" t="s">
        <v>877</v>
      </c>
    </row>
    <row r="16" spans="1:160" ht="12.75" customHeight="1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9"/>
      <c r="BZ16" s="9"/>
      <c r="CA16" s="173"/>
      <c r="CB16" s="173"/>
      <c r="CC16" s="173"/>
      <c r="CD16" s="10"/>
      <c r="CE16" s="10"/>
      <c r="CF16" s="10"/>
      <c r="CG16" s="10"/>
      <c r="CH16" s="10"/>
      <c r="CI16" s="10"/>
      <c r="CJ16" s="10"/>
      <c r="CK16" s="10"/>
      <c r="CL16" s="10"/>
      <c r="CM16" s="174"/>
      <c r="CN16" s="10"/>
      <c r="CO16" s="352" t="s">
        <v>4</v>
      </c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244"/>
      <c r="DF16" s="248"/>
    </row>
    <row r="17" spans="1:112" ht="41.25" customHeight="1" x14ac:dyDescent="0.25">
      <c r="A17" s="393" t="s">
        <v>627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6" t="str">
        <f>INDEX(УЧРЕЖДЕНИЯ!E3:E12,MATCH((INDEX(УЧРЕЖДЕНИЯ!A14:A52,MATCH(ТИТУЛ!CO20,УЧРЕЖДЕНИЯ!C14:C52,0))),УЧРЕЖДЕНИЯ!A3:A12,0))</f>
        <v>Администрация городского округа город Шахунья Нижегородской области</v>
      </c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38" t="s">
        <v>623</v>
      </c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7"/>
      <c r="CO17" s="369">
        <f>INDEX(УЧРЕЖДЕНИЯ!D3:D12,MATCH((INDEX(УЧРЕЖДЕНИЯ!A14:A52,MATCH(ТИТУЛ!CO20,УЧРЕЖДЕНИЯ!C14:C52,0))),УЧРЕЖДЕНИЯ!A3:A12,0))</f>
        <v>22320044</v>
      </c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1"/>
      <c r="DE17" s="242"/>
      <c r="DF17" s="249"/>
    </row>
    <row r="18" spans="1:112" ht="18" x14ac:dyDescent="0.25">
      <c r="A18" s="395"/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8"/>
      <c r="BL18" s="398"/>
      <c r="BM18" s="398"/>
      <c r="BN18" s="398"/>
      <c r="BO18" s="398"/>
      <c r="BP18" s="398"/>
      <c r="BQ18" s="398"/>
      <c r="BR18" s="398"/>
      <c r="BS18" s="398"/>
      <c r="BT18" s="398"/>
      <c r="BU18" s="398"/>
      <c r="BV18" s="398"/>
      <c r="BW18" s="398"/>
      <c r="BX18" s="398"/>
      <c r="BY18" s="398"/>
      <c r="BZ18" s="398"/>
      <c r="CA18" s="398"/>
      <c r="CB18" s="389" t="s">
        <v>1</v>
      </c>
      <c r="CC18" s="390"/>
      <c r="CD18" s="390"/>
      <c r="CE18" s="390"/>
      <c r="CF18" s="390"/>
      <c r="CG18" s="390"/>
      <c r="CH18" s="390"/>
      <c r="CI18" s="390"/>
      <c r="CJ18" s="390"/>
      <c r="CK18" s="390"/>
      <c r="CL18" s="390"/>
      <c r="CM18" s="390"/>
      <c r="CN18" s="391"/>
      <c r="CO18" s="392" t="str">
        <f>INDEX(УЧРЕЖДЕНИЯ!C3:C12,MATCH((INDEX(УЧРЕЖДЕНИЯ!A14:A52,MATCH(ТИТУЛ!CO20,УЧРЕЖДЕНИЯ!C14:C52,0))),УЧРЕЖДЕНИЯ!A3:A12,0))</f>
        <v>487</v>
      </c>
      <c r="CP18" s="376"/>
      <c r="CQ18" s="376"/>
      <c r="CR18" s="376"/>
      <c r="CS18" s="376"/>
      <c r="CT18" s="376"/>
      <c r="CU18" s="376"/>
      <c r="CV18" s="376"/>
      <c r="CW18" s="376"/>
      <c r="CX18" s="376"/>
      <c r="CY18" s="376"/>
      <c r="CZ18" s="376"/>
      <c r="DA18" s="376"/>
      <c r="DB18" s="376"/>
      <c r="DC18" s="376"/>
      <c r="DD18" s="377"/>
      <c r="DE18" s="243"/>
      <c r="DF18" s="250"/>
    </row>
    <row r="19" spans="1:112" ht="41.25" customHeight="1" x14ac:dyDescent="0.25">
      <c r="A19" s="386" t="s">
        <v>622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8" t="str">
        <f>INDEX(УЧРЕЖДЕНИЯ!F14:F52,MATCH(ТИТУЛ!DE7,УЧРЕЖДЕНИЯ!E14:E52,0))</f>
        <v>Муниципальное автономное учреждение "Физкультурно-оздоровительный комплекс "Атлант" в г.Шахунья"</v>
      </c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  <c r="BS19" s="350"/>
      <c r="BT19" s="350"/>
      <c r="BU19" s="350"/>
      <c r="BV19" s="350"/>
      <c r="BW19" s="350"/>
      <c r="BX19" s="350"/>
      <c r="BY19" s="350"/>
      <c r="BZ19" s="350"/>
      <c r="CA19" s="350"/>
      <c r="CB19" s="338" t="s">
        <v>623</v>
      </c>
      <c r="CC19" s="339"/>
      <c r="CD19" s="339"/>
      <c r="CE19" s="339"/>
      <c r="CF19" s="339"/>
      <c r="CG19" s="339"/>
      <c r="CH19" s="339"/>
      <c r="CI19" s="339"/>
      <c r="CJ19" s="339"/>
      <c r="CK19" s="339"/>
      <c r="CL19" s="339"/>
      <c r="CM19" s="339"/>
      <c r="CN19" s="339"/>
      <c r="CO19" s="369">
        <f>INDEX(УЧРЕЖДЕНИЯ!B14:B53,MATCH(ТИТУЛ!CO20,УЧРЕЖДЕНИЯ!C14:C53,0))</f>
        <v>22320477</v>
      </c>
      <c r="CP19" s="370"/>
      <c r="CQ19" s="370"/>
      <c r="CR19" s="370"/>
      <c r="CS19" s="370"/>
      <c r="CT19" s="370"/>
      <c r="CU19" s="370"/>
      <c r="CV19" s="370"/>
      <c r="CW19" s="370"/>
      <c r="CX19" s="370"/>
      <c r="CY19" s="370"/>
      <c r="CZ19" s="370"/>
      <c r="DA19" s="370"/>
      <c r="DB19" s="370"/>
      <c r="DC19" s="370"/>
      <c r="DD19" s="371"/>
      <c r="DE19" s="245"/>
      <c r="DF19" s="251"/>
    </row>
    <row r="20" spans="1:112" ht="13.8" x14ac:dyDescent="0.25">
      <c r="A20" s="387"/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  <c r="BS20" s="350"/>
      <c r="BT20" s="350"/>
      <c r="BU20" s="350"/>
      <c r="BV20" s="350"/>
      <c r="BW20" s="350"/>
      <c r="BX20" s="350"/>
      <c r="BY20" s="350"/>
      <c r="BZ20" s="350"/>
      <c r="CA20" s="350"/>
      <c r="CB20" s="335" t="s">
        <v>5</v>
      </c>
      <c r="CC20" s="336"/>
      <c r="CD20" s="336"/>
      <c r="CE20" s="336"/>
      <c r="CF20" s="336"/>
      <c r="CG20" s="336"/>
      <c r="CH20" s="336"/>
      <c r="CI20" s="336"/>
      <c r="CJ20" s="336"/>
      <c r="CK20" s="336"/>
      <c r="CL20" s="336"/>
      <c r="CM20" s="336"/>
      <c r="CN20" s="337"/>
      <c r="CO20" s="366">
        <f>INDEX(УЧРЕЖДЕНИЯ!C14:C52,MATCH(ТИТУЛ!DE7,УЧРЕЖДЕНИЯ!E14:E52,0))</f>
        <v>5239009749</v>
      </c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8"/>
      <c r="DE20" s="2" t="s">
        <v>629</v>
      </c>
    </row>
    <row r="21" spans="1:112" ht="14.4" x14ac:dyDescent="0.25">
      <c r="A21" s="387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  <c r="BS21" s="350"/>
      <c r="BT21" s="350"/>
      <c r="BU21" s="350"/>
      <c r="BV21" s="350"/>
      <c r="BW21" s="350"/>
      <c r="BX21" s="350"/>
      <c r="BY21" s="350"/>
      <c r="BZ21" s="350"/>
      <c r="CA21" s="350"/>
      <c r="CB21" s="335" t="s">
        <v>6</v>
      </c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6"/>
      <c r="CN21" s="337"/>
      <c r="CO21" s="375">
        <v>523901001</v>
      </c>
      <c r="CP21" s="376"/>
      <c r="CQ21" s="376"/>
      <c r="CR21" s="376"/>
      <c r="CS21" s="376"/>
      <c r="CT21" s="376"/>
      <c r="CU21" s="376"/>
      <c r="CV21" s="376"/>
      <c r="CW21" s="376"/>
      <c r="CX21" s="376"/>
      <c r="CY21" s="376"/>
      <c r="CZ21" s="376"/>
      <c r="DA21" s="376"/>
      <c r="DB21" s="376"/>
      <c r="DC21" s="376"/>
      <c r="DD21" s="377"/>
      <c r="DE21" s="11" t="s">
        <v>630</v>
      </c>
      <c r="DF21" s="2">
        <v>0</v>
      </c>
    </row>
    <row r="22" spans="1:112" ht="12.75" customHeight="1" x14ac:dyDescent="0.25">
      <c r="A22" s="321" t="s">
        <v>626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80" t="str">
        <f>DF11</f>
        <v>первичный</v>
      </c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2"/>
      <c r="BR22" s="382"/>
      <c r="BS22" s="382"/>
      <c r="BT22" s="382"/>
      <c r="BU22" s="382"/>
      <c r="BV22" s="378" t="str">
        <f>IF(AND(R22="первичный",CO22&lt;&gt;"",CO22&lt;1),"",IF(AND(R22="уточненный",CO22&gt;0),"","НЕ ВЕРНО"))</f>
        <v/>
      </c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9"/>
      <c r="CO22" s="383">
        <f>DF12</f>
        <v>0</v>
      </c>
      <c r="CP22" s="384"/>
      <c r="CQ22" s="384"/>
      <c r="CR22" s="384"/>
      <c r="CS22" s="384"/>
      <c r="CT22" s="384"/>
      <c r="CU22" s="384"/>
      <c r="CV22" s="384"/>
      <c r="CW22" s="384"/>
      <c r="CX22" s="384"/>
      <c r="CY22" s="384"/>
      <c r="CZ22" s="384"/>
      <c r="DA22" s="384"/>
      <c r="DB22" s="384"/>
      <c r="DC22" s="384"/>
      <c r="DD22" s="385"/>
      <c r="DE22" s="11" t="s">
        <v>630</v>
      </c>
      <c r="DF22" s="2">
        <f>DF21+1</f>
        <v>1</v>
      </c>
      <c r="DH22" s="91"/>
    </row>
    <row r="23" spans="1:112" s="11" customFormat="1" ht="12.75" customHeight="1" x14ac:dyDescent="0.25">
      <c r="A23" s="404" t="s">
        <v>8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/>
      <c r="AP23" s="405"/>
      <c r="AQ23" s="405"/>
      <c r="AR23" s="405"/>
      <c r="AS23" s="405"/>
      <c r="AT23" s="405"/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2" t="s">
        <v>2</v>
      </c>
      <c r="CC23" s="402"/>
      <c r="CD23" s="402"/>
      <c r="CE23" s="402"/>
      <c r="CF23" s="402"/>
      <c r="CG23" s="402"/>
      <c r="CH23" s="402"/>
      <c r="CI23" s="402"/>
      <c r="CJ23" s="402"/>
      <c r="CK23" s="402"/>
      <c r="CL23" s="402"/>
      <c r="CM23" s="402"/>
      <c r="CN23" s="403"/>
      <c r="CO23" s="369" t="s">
        <v>9</v>
      </c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0"/>
      <c r="DA23" s="370"/>
      <c r="DB23" s="370"/>
      <c r="DC23" s="370"/>
      <c r="DD23" s="371"/>
      <c r="DE23" s="11" t="s">
        <v>630</v>
      </c>
      <c r="DF23" s="2">
        <f t="shared" ref="DF23:DF54" si="0">DF22+1</f>
        <v>2</v>
      </c>
    </row>
    <row r="24" spans="1:112" ht="15" customHeight="1" x14ac:dyDescent="0.25">
      <c r="A24" s="386" t="s">
        <v>628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356" t="str">
        <f>INDEX(УЧРЕЖДЕНИЯ!H14:H52,MATCH(ТИТУЛ!CO20,УЧРЕЖДЕНИЯ!C14:C52,0))</f>
        <v>606912,Нижегородская область,г.Шахунья,ул.Чапаева,д.2А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6"/>
      <c r="CR24" s="406"/>
      <c r="CS24" s="406"/>
      <c r="CT24" s="406"/>
      <c r="CU24" s="406"/>
      <c r="CV24" s="406"/>
      <c r="CW24" s="406"/>
      <c r="CX24" s="406"/>
      <c r="CY24" s="406"/>
      <c r="CZ24" s="406"/>
      <c r="DA24" s="406"/>
      <c r="DB24" s="406"/>
      <c r="DC24" s="406"/>
      <c r="DD24" s="406"/>
      <c r="DE24" s="11" t="s">
        <v>630</v>
      </c>
      <c r="DF24" s="2">
        <f t="shared" si="0"/>
        <v>3</v>
      </c>
    </row>
    <row r="25" spans="1:112" ht="12.75" customHeight="1" x14ac:dyDescent="0.25">
      <c r="A25" s="407"/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6"/>
      <c r="CK25" s="406"/>
      <c r="CL25" s="406"/>
      <c r="CM25" s="406"/>
      <c r="CN25" s="406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11" t="s">
        <v>630</v>
      </c>
      <c r="DF25" s="2">
        <f t="shared" si="0"/>
        <v>4</v>
      </c>
    </row>
    <row r="26" spans="1:112" ht="16.5" customHeight="1" x14ac:dyDescent="0.35">
      <c r="A26" s="400" t="str">
        <f>IF(AND(A27="",A28="",A29="",A30="",A31="",A32="",A33="",A34="",A35="",A36="",A37="",A38="",A39="",A40="",A41="",A42="",A43="",A44="",A45="",A46="",A47="",A48="",A49="",A50="",A51="",A52=""),"НЕ ЗАПОЛНЕНО",IF(DF13="","ВЫБЕРИТЕ ПРИЧИНУ",DF13))</f>
        <v>НЕ ЗАПОЛНЕНО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401"/>
      <c r="AN26" s="401"/>
      <c r="AO26" s="401"/>
      <c r="AP26" s="401"/>
      <c r="AQ26" s="401"/>
      <c r="AR26" s="401"/>
      <c r="AS26" s="401"/>
      <c r="AT26" s="401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  <c r="CH26" s="401"/>
      <c r="CI26" s="401"/>
      <c r="CJ26" s="401"/>
      <c r="CK26" s="401"/>
      <c r="CL26" s="401"/>
      <c r="CM26" s="401"/>
      <c r="CN26" s="401"/>
      <c r="CO26" s="401"/>
      <c r="CP26" s="401"/>
      <c r="CQ26" s="401"/>
      <c r="CR26" s="401"/>
      <c r="CS26" s="401"/>
      <c r="CT26" s="401"/>
      <c r="CU26" s="401"/>
      <c r="CV26" s="401"/>
      <c r="CW26" s="401"/>
      <c r="CX26" s="401"/>
      <c r="CY26" s="401"/>
      <c r="CZ26" s="401"/>
      <c r="DA26" s="401"/>
      <c r="DB26" s="401"/>
      <c r="DC26" s="401"/>
      <c r="DD26" s="401"/>
      <c r="DE26" s="11" t="s">
        <v>630</v>
      </c>
      <c r="DF26" s="2">
        <f t="shared" si="0"/>
        <v>5</v>
      </c>
    </row>
    <row r="27" spans="1:112" s="12" customFormat="1" x14ac:dyDescent="0.25">
      <c r="A27" s="39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  <c r="CJ27" s="399"/>
      <c r="CK27" s="399"/>
      <c r="CL27" s="399"/>
      <c r="CM27" s="399"/>
      <c r="CN27" s="399"/>
      <c r="CO27" s="399"/>
      <c r="CP27" s="399"/>
      <c r="CQ27" s="399"/>
      <c r="CR27" s="399"/>
      <c r="CS27" s="399"/>
      <c r="CT27" s="399"/>
      <c r="CU27" s="399"/>
      <c r="CV27" s="399"/>
      <c r="CW27" s="399"/>
      <c r="CX27" s="399"/>
      <c r="CY27" s="399"/>
      <c r="CZ27" s="399"/>
      <c r="DA27" s="399"/>
      <c r="DB27" s="399"/>
      <c r="DC27" s="399"/>
      <c r="DD27" s="399"/>
      <c r="DE27" s="11" t="s">
        <v>630</v>
      </c>
      <c r="DF27" s="2">
        <f t="shared" si="0"/>
        <v>6</v>
      </c>
    </row>
    <row r="28" spans="1:112" s="12" customFormat="1" ht="13.8" x14ac:dyDescent="0.3">
      <c r="A28" s="326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11" t="s">
        <v>630</v>
      </c>
      <c r="DF28" s="2">
        <f t="shared" si="0"/>
        <v>7</v>
      </c>
    </row>
    <row r="29" spans="1:112" s="12" customFormat="1" ht="13.5" customHeight="1" x14ac:dyDescent="0.3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11" t="s">
        <v>630</v>
      </c>
      <c r="DF29" s="2">
        <f t="shared" si="0"/>
        <v>8</v>
      </c>
    </row>
    <row r="30" spans="1:112" s="12" customFormat="1" ht="13.5" customHeight="1" x14ac:dyDescent="0.3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11" t="s">
        <v>630</v>
      </c>
      <c r="DF30" s="2">
        <f t="shared" si="0"/>
        <v>9</v>
      </c>
    </row>
    <row r="31" spans="1:112" s="12" customFormat="1" ht="13.5" customHeight="1" x14ac:dyDescent="0.3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11" t="s">
        <v>630</v>
      </c>
      <c r="DF31" s="2">
        <f t="shared" si="0"/>
        <v>10</v>
      </c>
    </row>
    <row r="32" spans="1:112" s="12" customFormat="1" ht="13.5" customHeight="1" x14ac:dyDescent="0.3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7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11" t="s">
        <v>630</v>
      </c>
      <c r="DF32" s="2">
        <f t="shared" si="0"/>
        <v>11</v>
      </c>
    </row>
    <row r="33" spans="1:110" s="12" customFormat="1" ht="13.5" customHeight="1" x14ac:dyDescent="0.3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  <c r="BJ33" s="327"/>
      <c r="BK33" s="327"/>
      <c r="BL33" s="327"/>
      <c r="BM33" s="327"/>
      <c r="BN33" s="327"/>
      <c r="BO33" s="327"/>
      <c r="BP33" s="327"/>
      <c r="BQ33" s="327"/>
      <c r="BR33" s="327"/>
      <c r="BS33" s="327"/>
      <c r="BT33" s="327"/>
      <c r="BU33" s="327"/>
      <c r="BV33" s="327"/>
      <c r="BW33" s="327"/>
      <c r="BX33" s="327"/>
      <c r="BY33" s="32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327"/>
      <c r="CM33" s="327"/>
      <c r="CN33" s="327"/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11" t="s">
        <v>630</v>
      </c>
      <c r="DF33" s="2">
        <f t="shared" si="0"/>
        <v>12</v>
      </c>
    </row>
    <row r="34" spans="1:110" ht="13.5" customHeight="1" x14ac:dyDescent="0.3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11" t="s">
        <v>630</v>
      </c>
      <c r="DF34" s="2">
        <f t="shared" si="0"/>
        <v>13</v>
      </c>
    </row>
    <row r="35" spans="1:110" ht="13.5" customHeight="1" x14ac:dyDescent="0.3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/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11" t="s">
        <v>630</v>
      </c>
      <c r="DF35" s="2">
        <f t="shared" si="0"/>
        <v>14</v>
      </c>
    </row>
    <row r="36" spans="1:110" ht="13.5" customHeight="1" x14ac:dyDescent="0.3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327"/>
      <c r="CM36" s="327"/>
      <c r="CN36" s="327"/>
      <c r="CO36" s="327"/>
      <c r="CP36" s="327"/>
      <c r="CQ36" s="327"/>
      <c r="CR36" s="327"/>
      <c r="CS36" s="327"/>
      <c r="CT36" s="327"/>
      <c r="CU36" s="327"/>
      <c r="CV36" s="327"/>
      <c r="CW36" s="327"/>
      <c r="CX36" s="327"/>
      <c r="CY36" s="327"/>
      <c r="CZ36" s="327"/>
      <c r="DA36" s="327"/>
      <c r="DB36" s="327"/>
      <c r="DC36" s="327"/>
      <c r="DD36" s="327"/>
      <c r="DE36" s="11" t="s">
        <v>630</v>
      </c>
      <c r="DF36" s="2">
        <f t="shared" si="0"/>
        <v>15</v>
      </c>
    </row>
    <row r="37" spans="1:110" ht="13.5" customHeight="1" x14ac:dyDescent="0.3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27"/>
      <c r="CO37" s="327"/>
      <c r="CP37" s="327"/>
      <c r="CQ37" s="327"/>
      <c r="CR37" s="327"/>
      <c r="CS37" s="327"/>
      <c r="CT37" s="327"/>
      <c r="CU37" s="327"/>
      <c r="CV37" s="327"/>
      <c r="CW37" s="327"/>
      <c r="CX37" s="327"/>
      <c r="CY37" s="327"/>
      <c r="CZ37" s="327"/>
      <c r="DA37" s="327"/>
      <c r="DB37" s="327"/>
      <c r="DC37" s="327"/>
      <c r="DD37" s="327"/>
      <c r="DE37" s="11" t="s">
        <v>630</v>
      </c>
      <c r="DF37" s="2">
        <f t="shared" si="0"/>
        <v>16</v>
      </c>
    </row>
    <row r="38" spans="1:110" ht="13.5" customHeight="1" x14ac:dyDescent="0.3">
      <c r="A38" s="326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11" t="s">
        <v>630</v>
      </c>
      <c r="DF38" s="2">
        <f t="shared" si="0"/>
        <v>17</v>
      </c>
    </row>
    <row r="39" spans="1:110" ht="13.5" customHeight="1" x14ac:dyDescent="0.3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11" t="s">
        <v>630</v>
      </c>
      <c r="DF39" s="2">
        <f t="shared" si="0"/>
        <v>18</v>
      </c>
    </row>
    <row r="40" spans="1:110" ht="13.5" customHeight="1" x14ac:dyDescent="0.3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11" t="s">
        <v>630</v>
      </c>
      <c r="DF40" s="2">
        <f t="shared" si="0"/>
        <v>19</v>
      </c>
    </row>
    <row r="41" spans="1:110" ht="13.5" customHeight="1" x14ac:dyDescent="0.3">
      <c r="A41" s="326"/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11" t="s">
        <v>630</v>
      </c>
      <c r="DF41" s="2">
        <f t="shared" si="0"/>
        <v>20</v>
      </c>
    </row>
    <row r="42" spans="1:110" ht="13.5" customHeight="1" x14ac:dyDescent="0.3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327"/>
      <c r="CL42" s="327"/>
      <c r="CM42" s="327"/>
      <c r="CN42" s="327"/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11" t="s">
        <v>630</v>
      </c>
      <c r="DF42" s="2">
        <f t="shared" si="0"/>
        <v>21</v>
      </c>
    </row>
    <row r="43" spans="1:110" ht="13.5" customHeight="1" x14ac:dyDescent="0.3">
      <c r="A43" s="326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11" t="s">
        <v>630</v>
      </c>
      <c r="DF43" s="2">
        <f t="shared" si="0"/>
        <v>22</v>
      </c>
    </row>
    <row r="44" spans="1:110" ht="13.5" customHeight="1" x14ac:dyDescent="0.3">
      <c r="A44" s="326"/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11" t="s">
        <v>630</v>
      </c>
      <c r="DF44" s="2">
        <f t="shared" si="0"/>
        <v>23</v>
      </c>
    </row>
    <row r="45" spans="1:110" ht="13.5" customHeight="1" x14ac:dyDescent="0.3">
      <c r="A45" s="326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27"/>
      <c r="CW45" s="327"/>
      <c r="CX45" s="327"/>
      <c r="CY45" s="327"/>
      <c r="CZ45" s="327"/>
      <c r="DA45" s="327"/>
      <c r="DB45" s="327"/>
      <c r="DC45" s="327"/>
      <c r="DD45" s="327"/>
      <c r="DE45" s="11" t="s">
        <v>630</v>
      </c>
      <c r="DF45" s="2">
        <f t="shared" si="0"/>
        <v>24</v>
      </c>
    </row>
    <row r="46" spans="1:110" ht="13.5" customHeight="1" x14ac:dyDescent="0.3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  <c r="DB46" s="327"/>
      <c r="DC46" s="327"/>
      <c r="DD46" s="327"/>
      <c r="DE46" s="11" t="s">
        <v>630</v>
      </c>
      <c r="DF46" s="2">
        <f t="shared" si="0"/>
        <v>25</v>
      </c>
    </row>
    <row r="47" spans="1:110" ht="13.5" customHeight="1" x14ac:dyDescent="0.3">
      <c r="A47" s="326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  <c r="BL47" s="327"/>
      <c r="BM47" s="327"/>
      <c r="BN47" s="327"/>
      <c r="BO47" s="327"/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27"/>
      <c r="CW47" s="327"/>
      <c r="CX47" s="327"/>
      <c r="CY47" s="327"/>
      <c r="CZ47" s="327"/>
      <c r="DA47" s="327"/>
      <c r="DB47" s="327"/>
      <c r="DC47" s="327"/>
      <c r="DD47" s="327"/>
      <c r="DE47" s="11" t="s">
        <v>630</v>
      </c>
      <c r="DF47" s="2">
        <f t="shared" si="0"/>
        <v>26</v>
      </c>
    </row>
    <row r="48" spans="1:110" ht="13.5" customHeight="1" x14ac:dyDescent="0.3">
      <c r="A48" s="326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11" t="s">
        <v>630</v>
      </c>
      <c r="DF48" s="2">
        <f t="shared" si="0"/>
        <v>27</v>
      </c>
    </row>
    <row r="49" spans="1:110" s="13" customFormat="1" ht="13.5" customHeight="1" x14ac:dyDescent="0.3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11" t="s">
        <v>630</v>
      </c>
      <c r="DF49" s="2">
        <f t="shared" si="0"/>
        <v>28</v>
      </c>
    </row>
    <row r="50" spans="1:110" ht="13.5" customHeight="1" x14ac:dyDescent="0.3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7"/>
      <c r="CM50" s="327"/>
      <c r="CN50" s="327"/>
      <c r="CO50" s="327"/>
      <c r="CP50" s="327"/>
      <c r="CQ50" s="327"/>
      <c r="CR50" s="327"/>
      <c r="CS50" s="327"/>
      <c r="CT50" s="327"/>
      <c r="CU50" s="327"/>
      <c r="CV50" s="327"/>
      <c r="CW50" s="327"/>
      <c r="CX50" s="327"/>
      <c r="CY50" s="327"/>
      <c r="CZ50" s="327"/>
      <c r="DA50" s="327"/>
      <c r="DB50" s="327"/>
      <c r="DC50" s="327"/>
      <c r="DD50" s="327"/>
      <c r="DE50" s="11" t="s">
        <v>630</v>
      </c>
      <c r="DF50" s="2">
        <f t="shared" si="0"/>
        <v>29</v>
      </c>
    </row>
    <row r="51" spans="1:110" ht="13.5" customHeight="1" x14ac:dyDescent="0.3">
      <c r="A51" s="326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7"/>
      <c r="CM51" s="327"/>
      <c r="CN51" s="327"/>
      <c r="CO51" s="327"/>
      <c r="CP51" s="327"/>
      <c r="CQ51" s="327"/>
      <c r="CR51" s="327"/>
      <c r="CS51" s="327"/>
      <c r="CT51" s="327"/>
      <c r="CU51" s="327"/>
      <c r="CV51" s="327"/>
      <c r="CW51" s="327"/>
      <c r="CX51" s="327"/>
      <c r="CY51" s="327"/>
      <c r="CZ51" s="327"/>
      <c r="DA51" s="327"/>
      <c r="DB51" s="327"/>
      <c r="DC51" s="327"/>
      <c r="DD51" s="327"/>
      <c r="DE51" s="11" t="s">
        <v>630</v>
      </c>
      <c r="DF51" s="2">
        <f t="shared" si="0"/>
        <v>30</v>
      </c>
    </row>
    <row r="52" spans="1:110" ht="13.5" customHeight="1" x14ac:dyDescent="0.3">
      <c r="A52" s="326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7"/>
      <c r="DD52" s="327"/>
      <c r="DE52" s="11" t="s">
        <v>630</v>
      </c>
      <c r="DF52" s="2">
        <f t="shared" si="0"/>
        <v>31</v>
      </c>
    </row>
    <row r="53" spans="1:110" ht="35.25" customHeight="1" x14ac:dyDescent="0.25">
      <c r="A53" s="346" t="str">
        <f>IF(OR(ПОКАЗАТЕЛИ!O1="Детсад",ПОКАЗАТЕЛИ!O1="Школа",ПОКАЗАТЕЛИ!O1="Допобр",ПОКАЗАТЕЛИ!O1="МХШ",ПОКАЗАТЕЛИ!O1="ЦБС",ПОКАЗАТЕЛИ!O1="культура"),"Согласовано","Согласовано")</f>
        <v>Согласовано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47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F3:F12,MATCH((INDEX(УЧРЕЖДЕНИЯ!A14:A52,MATCH(ТИТУЛ!CO20,УЧРЕЖДЕНИЯ!C14:C52,0))),УЧРЕЖДЕНИЯ!A3:A12,0)),INDEX(УЧРЕЖДЕНИЯ!H3:H12,MATCH((INDEX(УЧРЕЖДЕНИЯ!A14:A52,MATCH(ТИТУЛ!CO20,УЧРЕЖДЕНИЯ!C14:C52,0))),УЧРЕЖДЕНИЯ!A3:A12,0)))</f>
        <v>Начальник сектора по бухгалтерскому учету и отчетности</v>
      </c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49" t="str">
        <f>IF(A8="НЕ ВЕРНЫЙ","НЕТ ПОДПИСИ","")</f>
        <v/>
      </c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  <c r="BL53" s="349"/>
      <c r="BM53" s="349"/>
      <c r="BN53" s="349"/>
      <c r="BO53" s="349"/>
      <c r="BP53" s="349"/>
      <c r="BQ53" s="349"/>
      <c r="BR53" s="349"/>
      <c r="BS53" s="349"/>
      <c r="BT53" s="349"/>
      <c r="BU53" s="349"/>
      <c r="BV53" s="348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G3:G12,MATCH((INDEX(УЧРЕЖДЕНИЯ!A14:A52,MATCH(ТИТУЛ!CO20,УЧРЕЖДЕНИЯ!C14:C52,0))),УЧРЕЖДЕНИЯ!A3:A12,0)),INDEX(УЧРЕЖДЕНИЯ!I3:I12,MATCH((INDEX(УЧРЕЖДЕНИЯ!A14:A52,MATCH(ТИТУЛ!CO20,УЧРЕЖДЕНИЯ!C14:C52,0))),УЧРЕЖДЕНИЯ!A3:A12,0)))</f>
        <v>Лопатина Елена Сергеевна</v>
      </c>
      <c r="BW53" s="321"/>
      <c r="BX53" s="321"/>
      <c r="BY53" s="321"/>
      <c r="BZ53" s="321"/>
      <c r="CA53" s="321"/>
      <c r="CB53" s="321"/>
      <c r="CC53" s="321"/>
      <c r="CD53" s="321"/>
      <c r="CE53" s="321"/>
      <c r="CF53" s="321"/>
      <c r="CG53" s="321"/>
      <c r="CH53" s="321"/>
      <c r="CI53" s="321"/>
      <c r="CJ53" s="321"/>
      <c r="CK53" s="321"/>
      <c r="CL53" s="321"/>
      <c r="CM53" s="321"/>
      <c r="CN53" s="321"/>
      <c r="CO53" s="321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  <c r="CZ53" s="321"/>
      <c r="DA53" s="321"/>
      <c r="DB53" s="321"/>
      <c r="DC53" s="321"/>
      <c r="DD53" s="321"/>
      <c r="DE53" s="11" t="s">
        <v>630</v>
      </c>
      <c r="DF53" s="2">
        <f t="shared" si="0"/>
        <v>32</v>
      </c>
    </row>
    <row r="54" spans="1:110" ht="35.25" customHeight="1" x14ac:dyDescent="0.25">
      <c r="A54" s="346" t="str">
        <f>IF(OR(ПОКАЗАТЕЛИ!O1="Детсад",ПОКАЗАТЕЛИ!O1="Школа",ПОКАЗАТЕЛИ!O1="Допобр",ПОКАЗАТЕЛИ!O1="МХШ",ПОКАЗАТЕЛИ!O1="ЦБС",ПОКАЗАТЕЛИ!O1="культура"),"Согласовано","")</f>
        <v/>
      </c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0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H3:H12,MATCH((INDEX(УЧРЕЖДЕНИЯ!A14:A52,MATCH(ТИТУЛ!CO20,УЧРЕЖДЕНИЯ!C14:C52,0))),УЧРЕЖДЕНИЯ!A3:A12,0)),"")</f>
        <v/>
      </c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2" t="str">
        <f>IF(AND(A8="НЕ ВЕРНЫЙ",A54="Согласовано"),"НЕТ ПОДПИСИ","")</f>
        <v/>
      </c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0" t="str">
        <f>IF(OR(ПОКАЗАТЕЛИ!O1="Детсад",ПОКАЗАТЕЛИ!O1="Школа",ПОКАЗАТЕЛИ!O1="Допобр",ПОКАЗАТЕЛИ!O1="МХШ",ПОКАЗАТЕЛИ!O1="ЦБС",ПОКАЗАТЕЛИ!O1="культура"),INDEX(УЧРЕЖДЕНИЯ!I3:I12,MATCH((INDEX(УЧРЕЖДЕНИЯ!A14:A52,MATCH(ТИТУЛ!CO20,УЧРЕЖДЕНИЯ!C14:C52,0))),УЧРЕЖДЕНИЯ!A3:A12,0)),"")</f>
        <v/>
      </c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11" t="s">
        <v>630</v>
      </c>
      <c r="DF54" s="2">
        <f t="shared" si="0"/>
        <v>33</v>
      </c>
    </row>
    <row r="55" spans="1:110" x14ac:dyDescent="0.25">
      <c r="DE55" s="11" t="s">
        <v>630</v>
      </c>
      <c r="DF55" s="2">
        <f t="shared" ref="DF55" si="1">DF54+1</f>
        <v>34</v>
      </c>
    </row>
    <row r="56" spans="1:110" ht="13.5" customHeight="1" x14ac:dyDescent="0.3">
      <c r="A56" s="345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45"/>
      <c r="O56" s="320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3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  <c r="BO56" s="324"/>
      <c r="BP56" s="324"/>
      <c r="BQ56" s="324"/>
      <c r="BR56" s="324"/>
      <c r="BS56" s="324"/>
      <c r="BT56" s="324"/>
      <c r="BU56" s="324"/>
      <c r="BV56" s="320"/>
      <c r="BW56" s="350"/>
      <c r="BX56" s="350"/>
      <c r="BY56" s="350"/>
      <c r="BZ56" s="350"/>
      <c r="CA56" s="350"/>
      <c r="CB56" s="350"/>
      <c r="CC56" s="350"/>
      <c r="CD56" s="350"/>
      <c r="CE56" s="350"/>
      <c r="CF56" s="350"/>
      <c r="CG56" s="350"/>
      <c r="CH56" s="350"/>
      <c r="CI56" s="350"/>
      <c r="CJ56" s="350"/>
      <c r="CK56" s="350"/>
      <c r="CL56" s="350"/>
      <c r="CM56" s="350"/>
      <c r="CN56" s="350"/>
      <c r="CO56" s="350"/>
      <c r="CP56" s="350"/>
      <c r="CQ56" s="350"/>
      <c r="CR56" s="350"/>
      <c r="CS56" s="350"/>
      <c r="CT56" s="350"/>
      <c r="CU56" s="350"/>
      <c r="CV56" s="350"/>
      <c r="CW56" s="350"/>
      <c r="CX56" s="350"/>
      <c r="CY56" s="350"/>
      <c r="CZ56" s="350"/>
      <c r="DA56" s="350"/>
      <c r="DB56" s="350"/>
      <c r="DC56" s="350"/>
      <c r="DD56" s="350"/>
      <c r="DE56" s="11"/>
    </row>
  </sheetData>
  <sheetProtection algorithmName="SHA-512" hashValue="GrXsCxZtgopTPetj213X5XupKTJ+bMmGdyFGGHiXEA2I/VWCBtgecv+FxJpOlknrJgbVEZvC3CuCZwk+elFobw==" saltValue="KrTM+FMgJ4vXDdTVNPrnDg==" spinCount="100000" sheet="1" formatCells="0" formatColumns="0" formatRows="0" insertColumns="0" insertRows="0" insertHyperlinks="0" deleteColumns="0" deleteRows="0" sort="0" autoFilter="0" pivotTables="0"/>
  <scenarios current="0">
    <scenario name="0" locked="1" count="1" user="Михайлов Андрей Сергеевич" comment="Автор: Михайлов Андрей Сергеевич , 02.12.2020">
      <inputCells r="CO22" val="1"/>
    </scenario>
  </scenarios>
  <dataConsolidate/>
  <mergeCells count="103">
    <mergeCell ref="A30:DD30"/>
    <mergeCell ref="A31:DD31"/>
    <mergeCell ref="A32:DD32"/>
    <mergeCell ref="A27:DD27"/>
    <mergeCell ref="CO23:DD23"/>
    <mergeCell ref="A26:DD26"/>
    <mergeCell ref="CB23:CN23"/>
    <mergeCell ref="A23:CA23"/>
    <mergeCell ref="AJ24:DD25"/>
    <mergeCell ref="A24:AI25"/>
    <mergeCell ref="CO17:DD17"/>
    <mergeCell ref="CO19:DD19"/>
    <mergeCell ref="AK7:AQ7"/>
    <mergeCell ref="A15:DD15"/>
    <mergeCell ref="CO21:DD21"/>
    <mergeCell ref="BV22:CN22"/>
    <mergeCell ref="R22:BU22"/>
    <mergeCell ref="CB21:CN21"/>
    <mergeCell ref="CO22:DD22"/>
    <mergeCell ref="A22:Q22"/>
    <mergeCell ref="A19:O21"/>
    <mergeCell ref="P19:CA21"/>
    <mergeCell ref="CB18:CN18"/>
    <mergeCell ref="BN7:BO7"/>
    <mergeCell ref="BP7:BS7"/>
    <mergeCell ref="BT7:BU7"/>
    <mergeCell ref="BV7:CJ7"/>
    <mergeCell ref="CO18:DD18"/>
    <mergeCell ref="CB19:CN19"/>
    <mergeCell ref="A17:O18"/>
    <mergeCell ref="P17:CA18"/>
    <mergeCell ref="DT7:DU7"/>
    <mergeCell ref="DV7:EJ7"/>
    <mergeCell ref="BZ6:DD6"/>
    <mergeCell ref="BE6:BX6"/>
    <mergeCell ref="A54:N54"/>
    <mergeCell ref="EU1:FD1"/>
    <mergeCell ref="EK1:ET1"/>
    <mergeCell ref="E3:BD5"/>
    <mergeCell ref="E1:BD1"/>
    <mergeCell ref="E2:BD2"/>
    <mergeCell ref="BE1:DD1"/>
    <mergeCell ref="BZ5:DD5"/>
    <mergeCell ref="DE2:FD2"/>
    <mergeCell ref="DE3:FD3"/>
    <mergeCell ref="DE4:FD5"/>
    <mergeCell ref="BE3:DD3"/>
    <mergeCell ref="BE4:DD4"/>
    <mergeCell ref="BE5:BX5"/>
    <mergeCell ref="EK7:EM7"/>
    <mergeCell ref="EN7:EQ7"/>
    <mergeCell ref="P7:S7"/>
    <mergeCell ref="N7:O7"/>
    <mergeCell ref="E6:BD6"/>
    <mergeCell ref="CO20:DD20"/>
    <mergeCell ref="DN7:DO7"/>
    <mergeCell ref="DP7:DS7"/>
    <mergeCell ref="CN7:CQ7"/>
    <mergeCell ref="A40:DD40"/>
    <mergeCell ref="A41:DD41"/>
    <mergeCell ref="A42:DD42"/>
    <mergeCell ref="A56:N56"/>
    <mergeCell ref="A43:DD43"/>
    <mergeCell ref="A44:DD44"/>
    <mergeCell ref="A45:DD45"/>
    <mergeCell ref="A46:DD46"/>
    <mergeCell ref="A47:DD47"/>
    <mergeCell ref="A48:DD48"/>
    <mergeCell ref="A49:DD49"/>
    <mergeCell ref="A50:DD50"/>
    <mergeCell ref="A51:DD51"/>
    <mergeCell ref="A53:N53"/>
    <mergeCell ref="O53:AX53"/>
    <mergeCell ref="BV53:DD53"/>
    <mergeCell ref="AY53:BU53"/>
    <mergeCell ref="O54:AX54"/>
    <mergeCell ref="BV56:DD56"/>
    <mergeCell ref="CK7:CM7"/>
    <mergeCell ref="CO16:DD16"/>
    <mergeCell ref="DE1:DF1"/>
    <mergeCell ref="DE7:DJ7"/>
    <mergeCell ref="BV54:DD54"/>
    <mergeCell ref="AY54:BU54"/>
    <mergeCell ref="AY56:BU56"/>
    <mergeCell ref="O56:AX56"/>
    <mergeCell ref="A52:DD52"/>
    <mergeCell ref="A33:DD33"/>
    <mergeCell ref="A29:DD29"/>
    <mergeCell ref="A28:DD28"/>
    <mergeCell ref="A34:DD34"/>
    <mergeCell ref="A35:DD35"/>
    <mergeCell ref="A36:DD36"/>
    <mergeCell ref="A37:DD37"/>
    <mergeCell ref="A38:DD38"/>
    <mergeCell ref="A39:DD39"/>
    <mergeCell ref="T7:U7"/>
    <mergeCell ref="V7:AJ7"/>
    <mergeCell ref="A14:DD14"/>
    <mergeCell ref="A8:DD12"/>
    <mergeCell ref="A13:DD13"/>
    <mergeCell ref="CB20:CN20"/>
    <mergeCell ref="CB17:CN17"/>
    <mergeCell ref="DE6:FD6"/>
  </mergeCells>
  <phoneticPr fontId="9" type="noConversion"/>
  <dataValidations count="3">
    <dataValidation type="list" allowBlank="1" showInputMessage="1" showErrorMessage="1" sqref="DF12">
      <formula1>DF20:DF55</formula1>
    </dataValidation>
    <dataValidation type="list" allowBlank="1" showInputMessage="1" showErrorMessage="1" sqref="DF11">
      <formula1>DE19:DE21</formula1>
    </dataValidation>
    <dataValidation type="list" allowBlank="1" showInputMessage="1" showErrorMessage="1" sqref="DF13">
      <formula1>$DF$14:$DF$19</formula1>
    </dataValidation>
  </dataValidations>
  <printOptions horizontalCentered="1" verticalCentered="1"/>
  <pageMargins left="0.78740157480314965" right="0.39370078740157483" top="0.39370078740157483" bottom="0" header="0" footer="0"/>
  <pageSetup paperSize="9" scale="91" orientation="portrait" useFirstPageNumber="1" r:id="rId1"/>
  <headerFooter>
    <oddFooter>&amp;L&amp;T &amp;D&amp;Cверсия 220102&amp;R&amp;P из 12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КБК!$K$4:$K$15</xm:f>
          </x14:formula1>
          <xm:sqref>DF9</xm:sqref>
        </x14:dataValidation>
        <x14:dataValidation type="list" allowBlank="1" showInputMessage="1" showErrorMessage="1">
          <x14:formula1>
            <xm:f>КБК!$L$4:$L$15</xm:f>
          </x14:formula1>
          <xm:sqref>DF10</xm:sqref>
        </x14:dataValidation>
        <x14:dataValidation type="list" allowBlank="1" showInputMessage="1" showErrorMessage="1">
          <x14:formula1>
            <xm:f>КБК!$J$4:$J$33</xm:f>
          </x14:formula1>
          <xm:sqref>DF8</xm:sqref>
        </x14:dataValidation>
        <x14:dataValidation type="list" allowBlank="1" showInputMessage="1" showErrorMessage="1">
          <x14:formula1>
            <xm:f>УЧРЕЖДЕНИЯ!$E$14:$E$52</xm:f>
          </x14:formula1>
          <xm:sqref>DE7:DJ7</xm:sqref>
        </x14:dataValidation>
        <x14:dataValidation type="list" allowBlank="1" showInputMessage="1" showErrorMessage="1">
          <x14:formula1>
            <xm:f>КБК!$M$4:$M$15</xm:f>
          </x14:formula1>
          <xm:sqref>DG10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B050"/>
  </sheetPr>
  <dimension ref="A1:Q384"/>
  <sheetViews>
    <sheetView showZeros="0" view="pageBreakPreview" zoomScaleSheetLayoutView="100" workbookViewId="0">
      <pane xSplit="4" ySplit="5" topLeftCell="E162" activePane="bottomRight" state="frozen"/>
      <selection activeCell="A64" sqref="A64:B64"/>
      <selection pane="topRight" activeCell="A64" sqref="A64:B64"/>
      <selection pane="bottomLeft" activeCell="A64" sqref="A64:B64"/>
      <selection pane="bottomRight" activeCell="L353" sqref="L353:N353"/>
    </sheetView>
  </sheetViews>
  <sheetFormatPr defaultColWidth="9.109375" defaultRowHeight="12" customHeight="1" x14ac:dyDescent="0.3"/>
  <cols>
    <col min="1" max="1" width="30.44140625" style="31" customWidth="1"/>
    <col min="2" max="2" width="4.88671875" style="24" customWidth="1"/>
    <col min="3" max="3" width="4" style="24" customWidth="1"/>
    <col min="4" max="4" width="4" style="169" customWidth="1"/>
    <col min="5" max="5" width="4.88671875" style="24" customWidth="1"/>
    <col min="6" max="6" width="13.5546875" style="24" customWidth="1"/>
    <col min="7" max="7" width="13.88671875" style="24" customWidth="1"/>
    <col min="8" max="8" width="13.21875" style="24" customWidth="1"/>
    <col min="9" max="9" width="14.109375" style="24" customWidth="1"/>
    <col min="10" max="10" width="13.21875" style="24" customWidth="1"/>
    <col min="11" max="11" width="13.33203125" style="24" customWidth="1"/>
    <col min="12" max="14" width="11.88671875" style="24" customWidth="1"/>
    <col min="15" max="15" width="16" style="24" customWidth="1"/>
    <col min="16" max="16" width="10.5546875" style="23" customWidth="1"/>
    <col min="17" max="17" width="9" style="24" customWidth="1"/>
    <col min="18" max="16384" width="9.109375" style="24"/>
  </cols>
  <sheetData>
    <row r="1" spans="1:17" ht="11.1" customHeight="1" thickBot="1" x14ac:dyDescent="0.35">
      <c r="A1" s="408" t="s">
        <v>268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39" t="str">
        <f>INDEX(УЧРЕЖДЕНИЯ!A14:A52,MATCH(ТИТУЛ!CO20,УЧРЕЖДЕНИЯ!C14:C52,0))</f>
        <v>спорт</v>
      </c>
      <c r="P1" s="40" t="str">
        <f>IF(AND(F21+G21+H21=0,F84+G84+H84=0,OR(F21&lt;&gt;0,G21&lt;&gt;0,H21&lt;&gt;0,F84&lt;&gt;0,G84&lt;&gt;0,H84&lt;&gt;0)),"",IF(AND(F21&gt;0,G21&gt;0,H21&gt;0,F84&gt;0,G84&gt;0,H84&gt;0,F21+F6+F337=F84+F343,G21+G6+G337=G84+G343,H21+H6+H337=H84+H343),"","НЕ ЗАПОЛНЕНО"))</f>
        <v/>
      </c>
      <c r="Q1" s="41" t="s">
        <v>302</v>
      </c>
    </row>
    <row r="2" spans="1:17" ht="9.75" customHeight="1" x14ac:dyDescent="0.3">
      <c r="A2" s="420" t="s">
        <v>0</v>
      </c>
      <c r="B2" s="444" t="s">
        <v>141</v>
      </c>
      <c r="C2" s="445"/>
      <c r="D2" s="445"/>
      <c r="E2" s="441" t="s">
        <v>621</v>
      </c>
      <c r="F2" s="430" t="s">
        <v>698</v>
      </c>
      <c r="G2" s="431"/>
      <c r="H2" s="432"/>
      <c r="I2" s="436" t="s">
        <v>699</v>
      </c>
      <c r="J2" s="434"/>
      <c r="K2" s="434"/>
      <c r="L2" s="420" t="s">
        <v>700</v>
      </c>
      <c r="M2" s="434"/>
      <c r="N2" s="434"/>
      <c r="O2" s="39" t="str">
        <f>IF(AND(F6+F21+L21+L6+F337+L337=F84+L84+F343+L343,G6+G21+M21+G337+M337=G84+M84,H6+H21+N21+H337+N337=H84+N84,F6+F21+F337=F84+F343,G6+G21+G337=G84,H6+H21+H337=H84,L6+L21+L337=L84+L343,M6+M21+M337=M84,N6+N21+N337=N84),"","НЕ ВЕРНО")</f>
        <v/>
      </c>
      <c r="P2" s="40" t="b">
        <f>AND(F6+F21+L21+L6=F84+L84)</f>
        <v>0</v>
      </c>
      <c r="Q2" s="42" t="s">
        <v>300</v>
      </c>
    </row>
    <row r="3" spans="1:17" ht="9.75" customHeight="1" x14ac:dyDescent="0.3">
      <c r="A3" s="420"/>
      <c r="B3" s="446"/>
      <c r="C3" s="447"/>
      <c r="D3" s="447"/>
      <c r="E3" s="442"/>
      <c r="F3" s="433"/>
      <c r="G3" s="434"/>
      <c r="H3" s="435"/>
      <c r="I3" s="437"/>
      <c r="J3" s="434"/>
      <c r="K3" s="434"/>
      <c r="L3" s="434"/>
      <c r="M3" s="434"/>
      <c r="N3" s="434"/>
      <c r="O3" s="39" t="str">
        <f>IF(ТИТУЛ!DG13=1,IF(AND(F21+G21+H21=0,F84+G84+H84=0,OR(F21&lt;&gt;0,G21&lt;&gt;0,H21&lt;&gt;0,F84&lt;&gt;0,G84&lt;&gt;0,H84&lt;&gt;0)),"",IF(AND(F21&gt;0,G21&gt;0,H21&gt;0,F84&gt;0,G84&gt;0,H84&gt;0,F21+F6+F337=F84+F343,G21+G6+G337=G84+G343,H21+H6+H337=H84+H343),"","НЕ ЗАПОЛНЕНО")),IF(AND(F21=0,F84=0,OR(F21&lt;&gt;0,F84&lt;&gt;0,)),"",IF(AND(F21&gt;0,F84&gt;0,F21+F6+F337=F84+F343),"","НЕ ЗАПОЛНЕНО")))</f>
        <v/>
      </c>
      <c r="P3" s="40" t="s">
        <v>304</v>
      </c>
      <c r="Q3" s="41" t="s">
        <v>303</v>
      </c>
    </row>
    <row r="4" spans="1:17" ht="12" customHeight="1" x14ac:dyDescent="0.3">
      <c r="A4" s="420"/>
      <c r="B4" s="448" t="s">
        <v>180</v>
      </c>
      <c r="C4" s="448" t="s">
        <v>290</v>
      </c>
      <c r="D4" s="450" t="s">
        <v>142</v>
      </c>
      <c r="E4" s="442"/>
      <c r="F4" s="423" t="str">
        <f>CONCATENATE(ТИТУЛ!$DG$10," Г.")</f>
        <v>2022 Г.</v>
      </c>
      <c r="G4" s="411" t="str">
        <f>CONCATENATE(ТИТУЛ!$DG$10+1," Г.")</f>
        <v>2023 Г.</v>
      </c>
      <c r="H4" s="425" t="str">
        <f>CONCATENATE(ТИТУЛ!$DG$10+2," Г.")</f>
        <v>2024 Г.</v>
      </c>
      <c r="I4" s="421" t="str">
        <f>CONCATENATE(ТИТУЛ!$DG$10," Г.")</f>
        <v>2022 Г.</v>
      </c>
      <c r="J4" s="410" t="str">
        <f>CONCATENATE(ТИТУЛ!$DG$10+1," Г.")</f>
        <v>2023 Г.</v>
      </c>
      <c r="K4" s="410" t="str">
        <f>CONCATENATE(ТИТУЛ!$DG$10+2," Г.")</f>
        <v>2024 Г.</v>
      </c>
      <c r="L4" s="410" t="str">
        <f>CONCATENATE(ТИТУЛ!$DG$10," Г.")</f>
        <v>2022 Г.</v>
      </c>
      <c r="M4" s="410" t="str">
        <f>CONCATENATE(ТИТУЛ!$DG$10+1," Г.")</f>
        <v>2023 Г.</v>
      </c>
      <c r="N4" s="440" t="str">
        <f>CONCATENATE(ТИТУЛ!$DG$10+2," Г.")</f>
        <v>2024 Г.</v>
      </c>
      <c r="O4" s="39">
        <f>КБК!A4</f>
        <v>4</v>
      </c>
      <c r="P4" s="40">
        <f>КБК!A888</f>
        <v>888</v>
      </c>
      <c r="Q4" s="42" t="s">
        <v>301</v>
      </c>
    </row>
    <row r="5" spans="1:17" ht="21" customHeight="1" x14ac:dyDescent="0.3">
      <c r="A5" s="420"/>
      <c r="B5" s="449"/>
      <c r="C5" s="449"/>
      <c r="D5" s="451"/>
      <c r="E5" s="443"/>
      <c r="F5" s="424"/>
      <c r="G5" s="411"/>
      <c r="H5" s="426"/>
      <c r="I5" s="422"/>
      <c r="J5" s="411"/>
      <c r="K5" s="411"/>
      <c r="L5" s="411"/>
      <c r="M5" s="411"/>
      <c r="N5" s="411"/>
      <c r="O5" s="40">
        <f>КБК!A888</f>
        <v>888</v>
      </c>
      <c r="P5" s="40">
        <f>КБК!A1045</f>
        <v>1045</v>
      </c>
      <c r="Q5" s="39"/>
    </row>
    <row r="6" spans="1:17" ht="12" customHeight="1" x14ac:dyDescent="0.3">
      <c r="A6" s="54" t="s">
        <v>286</v>
      </c>
      <c r="B6" s="55" t="s">
        <v>202</v>
      </c>
      <c r="C6" s="56">
        <v>510</v>
      </c>
      <c r="D6" s="66">
        <v>510</v>
      </c>
      <c r="E6" s="139" t="s">
        <v>677</v>
      </c>
      <c r="F6" s="120">
        <f>SUM(F7:F18)</f>
        <v>81893.320000000007</v>
      </c>
      <c r="G6" s="57">
        <f>SUM(G7:G18)</f>
        <v>0</v>
      </c>
      <c r="H6" s="121">
        <f>SUM(H7:H18)</f>
        <v>0</v>
      </c>
      <c r="I6" s="69">
        <f>SUM(I7:I18)</f>
        <v>81893.320000000007</v>
      </c>
      <c r="J6" s="69">
        <f t="shared" ref="J6:N6" si="0">SUM(J7:J18)</f>
        <v>0</v>
      </c>
      <c r="K6" s="69">
        <f t="shared" si="0"/>
        <v>0</v>
      </c>
      <c r="L6" s="57">
        <f t="shared" si="0"/>
        <v>0</v>
      </c>
      <c r="M6" s="69">
        <f t="shared" si="0"/>
        <v>0</v>
      </c>
      <c r="N6" s="69">
        <f t="shared" si="0"/>
        <v>0</v>
      </c>
      <c r="O6" s="40">
        <f>ROW()</f>
        <v>6</v>
      </c>
      <c r="P6" s="40"/>
      <c r="Q6" s="39"/>
    </row>
    <row r="7" spans="1:17" ht="12" customHeight="1" x14ac:dyDescent="0.3">
      <c r="A7" s="58" t="str">
        <f t="array" ref="A7:A18">IFERROR(INDEX(КБК!E4:E1045,SMALL(IF((($D$6=КБК!F4:F1045)*($C$6=КБК!G4:G1045)*(NOT(ISERR(SEARCH($O$1,КБК!D4:D1045))))),ROW(КБК!E4:E1045)-КБК!A4+1,""),ROW()-$O$6)),"")</f>
        <v>временно 0000000003.510.0</v>
      </c>
      <c r="B7" s="55" t="str">
        <f t="array" ref="B7:B18">IFERROR(INDEX(КБК!H4:H1045,SMALL(IF((($D$6=КБК!F4:F1045)*($C$6=КБК!G4:G1045)*(NOT(ISERR(SEARCH($O$1,КБК!D4:D1045))))),ROW(КБК!E4:E1045)-КБК!A4+1,""),ROW()-$O$6)),"")</f>
        <v>1102</v>
      </c>
      <c r="C7" s="56">
        <v>510</v>
      </c>
      <c r="D7" s="66">
        <v>510</v>
      </c>
      <c r="E7" s="140"/>
      <c r="F7" s="120">
        <f>I7+L7</f>
        <v>0</v>
      </c>
      <c r="G7" s="57">
        <f t="shared" ref="G7:H17" si="1">J7+M7</f>
        <v>0</v>
      </c>
      <c r="H7" s="121">
        <f t="shared" si="1"/>
        <v>0</v>
      </c>
      <c r="I7" s="70"/>
      <c r="J7" s="57"/>
      <c r="K7" s="57"/>
      <c r="L7" s="57"/>
      <c r="M7" s="57"/>
      <c r="N7" s="57"/>
      <c r="O7" s="40"/>
      <c r="P7" s="40"/>
      <c r="Q7" s="39"/>
    </row>
    <row r="8" spans="1:17" ht="12" customHeight="1" x14ac:dyDescent="0.3">
      <c r="A8" s="58" t="str">
        <v>аренда 0000000121.510.0</v>
      </c>
      <c r="B8" s="55" t="str">
        <v>1102</v>
      </c>
      <c r="C8" s="56">
        <v>510</v>
      </c>
      <c r="D8" s="66">
        <v>510</v>
      </c>
      <c r="E8" s="140"/>
      <c r="F8" s="120">
        <f t="shared" ref="F8:F17" si="2">I8+L8</f>
        <v>0</v>
      </c>
      <c r="G8" s="57">
        <f t="shared" si="1"/>
        <v>0</v>
      </c>
      <c r="H8" s="121">
        <f t="shared" si="1"/>
        <v>0</v>
      </c>
      <c r="I8" s="70"/>
      <c r="J8" s="57"/>
      <c r="K8" s="57"/>
      <c r="L8" s="57"/>
      <c r="M8" s="57"/>
      <c r="N8" s="57"/>
      <c r="O8" s="40"/>
      <c r="P8" s="40"/>
      <c r="Q8" s="39"/>
    </row>
    <row r="9" spans="1:17" ht="12" customHeight="1" x14ac:dyDescent="0.3">
      <c r="A9" s="58" t="str">
        <v>доходы 0000000131.510.0</v>
      </c>
      <c r="B9" s="55" t="str">
        <v>1102</v>
      </c>
      <c r="C9" s="56">
        <v>510</v>
      </c>
      <c r="D9" s="66">
        <v>510</v>
      </c>
      <c r="E9" s="140"/>
      <c r="F9" s="120">
        <f t="shared" si="2"/>
        <v>72900.429999999993</v>
      </c>
      <c r="G9" s="57">
        <f t="shared" si="1"/>
        <v>0</v>
      </c>
      <c r="H9" s="121">
        <f t="shared" si="1"/>
        <v>0</v>
      </c>
      <c r="I9" s="70">
        <v>72900.429999999993</v>
      </c>
      <c r="J9" s="57"/>
      <c r="K9" s="57"/>
      <c r="L9" s="57"/>
      <c r="M9" s="57"/>
      <c r="N9" s="57"/>
      <c r="O9" s="40"/>
      <c r="P9" s="40"/>
      <c r="Q9" s="39"/>
    </row>
    <row r="10" spans="1:17" ht="12" customHeight="1" x14ac:dyDescent="0.3">
      <c r="A10" s="58" t="str">
        <v>спонсор 0000000155.510.0</v>
      </c>
      <c r="B10" s="55" t="str">
        <v>1102</v>
      </c>
      <c r="C10" s="56">
        <v>510</v>
      </c>
      <c r="D10" s="66">
        <v>510</v>
      </c>
      <c r="E10" s="140"/>
      <c r="F10" s="120">
        <f t="shared" si="2"/>
        <v>0</v>
      </c>
      <c r="G10" s="57">
        <f t="shared" si="1"/>
        <v>0</v>
      </c>
      <c r="H10" s="121">
        <f t="shared" si="1"/>
        <v>0</v>
      </c>
      <c r="I10" s="70"/>
      <c r="J10" s="57"/>
      <c r="K10" s="57"/>
      <c r="L10" s="57"/>
      <c r="M10" s="57"/>
      <c r="N10" s="57"/>
      <c r="O10" s="40"/>
      <c r="P10" s="40"/>
      <c r="Q10" s="39"/>
    </row>
    <row r="11" spans="1:17" ht="12" customHeight="1" x14ac:dyDescent="0.3">
      <c r="A11" s="58" t="str">
        <v>спорт 1130387590.510.0</v>
      </c>
      <c r="B11" s="55" t="str">
        <v>1102</v>
      </c>
      <c r="C11" s="56">
        <v>510</v>
      </c>
      <c r="D11" s="66">
        <v>510</v>
      </c>
      <c r="E11" s="140"/>
      <c r="F11" s="120">
        <f t="shared" si="2"/>
        <v>8992.89</v>
      </c>
      <c r="G11" s="57">
        <f t="shared" si="1"/>
        <v>0</v>
      </c>
      <c r="H11" s="121">
        <f t="shared" si="1"/>
        <v>0</v>
      </c>
      <c r="I11" s="70">
        <v>8992.89</v>
      </c>
      <c r="J11" s="57"/>
      <c r="K11" s="57"/>
      <c r="L11" s="57"/>
      <c r="M11" s="57"/>
      <c r="N11" s="57"/>
      <c r="O11" s="40"/>
      <c r="P11" s="40"/>
      <c r="Q11" s="39"/>
    </row>
    <row r="12" spans="1:17" ht="12" customHeight="1" x14ac:dyDescent="0.3">
      <c r="A12" s="58" t="str">
        <v>спорт з/п 11303S2090.510.0</v>
      </c>
      <c r="B12" s="55" t="str">
        <v>1102</v>
      </c>
      <c r="C12" s="56">
        <v>510</v>
      </c>
      <c r="D12" s="66">
        <v>510</v>
      </c>
      <c r="E12" s="140"/>
      <c r="F12" s="120">
        <f t="shared" si="2"/>
        <v>0</v>
      </c>
      <c r="G12" s="57">
        <f t="shared" si="1"/>
        <v>0</v>
      </c>
      <c r="H12" s="121">
        <f t="shared" si="1"/>
        <v>0</v>
      </c>
      <c r="I12" s="70"/>
      <c r="J12" s="57"/>
      <c r="K12" s="57"/>
      <c r="L12" s="57"/>
      <c r="M12" s="57"/>
      <c r="N12" s="57"/>
      <c r="O12" s="40"/>
      <c r="P12" s="40"/>
      <c r="Q12" s="39"/>
    </row>
    <row r="13" spans="1:17" ht="12" customHeight="1" x14ac:dyDescent="0.3">
      <c r="A13" s="58" t="str">
        <v>спорт 1130387590.510.0</v>
      </c>
      <c r="B13" s="55" t="str">
        <v>1102</v>
      </c>
      <c r="C13" s="56">
        <v>510</v>
      </c>
      <c r="D13" s="66">
        <v>510</v>
      </c>
      <c r="E13" s="140"/>
      <c r="F13" s="120">
        <f t="shared" si="2"/>
        <v>0</v>
      </c>
      <c r="G13" s="57">
        <f t="shared" si="1"/>
        <v>0</v>
      </c>
      <c r="H13" s="121">
        <f t="shared" si="1"/>
        <v>0</v>
      </c>
      <c r="I13" s="70"/>
      <c r="J13" s="57"/>
      <c r="K13" s="57"/>
      <c r="L13" s="57"/>
      <c r="M13" s="57"/>
      <c r="N13" s="57"/>
      <c r="O13" s="40"/>
      <c r="P13" s="40"/>
      <c r="Q13" s="39"/>
    </row>
    <row r="14" spans="1:17" ht="12" customHeight="1" x14ac:dyDescent="0.3">
      <c r="A14" s="58" t="str">
        <v>комфорт 777F254240.510.0</v>
      </c>
      <c r="B14" s="55" t="str">
        <v>0505</v>
      </c>
      <c r="C14" s="56">
        <v>510</v>
      </c>
      <c r="D14" s="66">
        <v>510</v>
      </c>
      <c r="E14" s="140"/>
      <c r="F14" s="120">
        <f t="shared" si="2"/>
        <v>0</v>
      </c>
      <c r="G14" s="57">
        <f t="shared" si="1"/>
        <v>0</v>
      </c>
      <c r="H14" s="121">
        <f t="shared" si="1"/>
        <v>0</v>
      </c>
      <c r="I14" s="70"/>
      <c r="J14" s="57"/>
      <c r="K14" s="57"/>
      <c r="L14" s="57"/>
      <c r="M14" s="57"/>
      <c r="N14" s="57"/>
      <c r="O14" s="40"/>
      <c r="P14" s="40"/>
      <c r="Q14" s="39"/>
    </row>
    <row r="15" spans="1:17" ht="12" customHeight="1" x14ac:dyDescent="0.3">
      <c r="A15" s="58" t="str">
        <v/>
      </c>
      <c r="B15" s="55" t="str">
        <v/>
      </c>
      <c r="C15" s="56">
        <v>510</v>
      </c>
      <c r="D15" s="66">
        <v>510</v>
      </c>
      <c r="E15" s="140"/>
      <c r="F15" s="120">
        <f t="shared" si="2"/>
        <v>0</v>
      </c>
      <c r="G15" s="57">
        <f t="shared" si="1"/>
        <v>0</v>
      </c>
      <c r="H15" s="121">
        <f t="shared" si="1"/>
        <v>0</v>
      </c>
      <c r="I15" s="70"/>
      <c r="J15" s="57"/>
      <c r="K15" s="57"/>
      <c r="L15" s="57"/>
      <c r="M15" s="57"/>
      <c r="N15" s="57"/>
      <c r="O15" s="40"/>
      <c r="P15" s="40"/>
      <c r="Q15" s="39"/>
    </row>
    <row r="16" spans="1:17" ht="12" customHeight="1" x14ac:dyDescent="0.3">
      <c r="A16" s="58" t="str">
        <v/>
      </c>
      <c r="B16" s="55" t="str">
        <v/>
      </c>
      <c r="C16" s="56">
        <v>510</v>
      </c>
      <c r="D16" s="66">
        <v>510</v>
      </c>
      <c r="E16" s="140"/>
      <c r="F16" s="120">
        <f t="shared" si="2"/>
        <v>0</v>
      </c>
      <c r="G16" s="57">
        <f t="shared" si="1"/>
        <v>0</v>
      </c>
      <c r="H16" s="121">
        <f t="shared" si="1"/>
        <v>0</v>
      </c>
      <c r="I16" s="70"/>
      <c r="J16" s="57"/>
      <c r="K16" s="57"/>
      <c r="L16" s="57"/>
      <c r="M16" s="57"/>
      <c r="N16" s="57"/>
      <c r="O16" s="40"/>
      <c r="P16" s="40"/>
      <c r="Q16" s="39"/>
    </row>
    <row r="17" spans="1:17" ht="12" customHeight="1" x14ac:dyDescent="0.3">
      <c r="A17" s="58" t="str">
        <v/>
      </c>
      <c r="B17" s="55" t="str">
        <v/>
      </c>
      <c r="C17" s="56">
        <v>510</v>
      </c>
      <c r="D17" s="66">
        <v>510</v>
      </c>
      <c r="E17" s="140"/>
      <c r="F17" s="120">
        <f t="shared" si="2"/>
        <v>0</v>
      </c>
      <c r="G17" s="57">
        <f t="shared" si="1"/>
        <v>0</v>
      </c>
      <c r="H17" s="121">
        <f t="shared" si="1"/>
        <v>0</v>
      </c>
      <c r="I17" s="70"/>
      <c r="J17" s="57"/>
      <c r="K17" s="57"/>
      <c r="L17" s="57"/>
      <c r="M17" s="57"/>
      <c r="N17" s="57"/>
      <c r="O17" s="40"/>
      <c r="P17" s="40"/>
      <c r="Q17" s="39"/>
    </row>
    <row r="18" spans="1:17" ht="12" customHeight="1" x14ac:dyDescent="0.3">
      <c r="A18" s="58" t="str">
        <v/>
      </c>
      <c r="B18" s="55" t="str">
        <v/>
      </c>
      <c r="C18" s="56">
        <v>510</v>
      </c>
      <c r="D18" s="66">
        <v>510</v>
      </c>
      <c r="E18" s="140"/>
      <c r="F18" s="120"/>
      <c r="G18" s="57"/>
      <c r="H18" s="121"/>
      <c r="I18" s="70"/>
      <c r="J18" s="57"/>
      <c r="K18" s="57"/>
      <c r="L18" s="57"/>
      <c r="M18" s="57"/>
      <c r="N18" s="57"/>
      <c r="O18" s="40"/>
      <c r="P18" s="40"/>
      <c r="Q18" s="39"/>
    </row>
    <row r="19" spans="1:17" ht="12" customHeight="1" x14ac:dyDescent="0.3">
      <c r="A19" s="54" t="s">
        <v>287</v>
      </c>
      <c r="B19" s="55" t="s">
        <v>202</v>
      </c>
      <c r="C19" s="56">
        <v>610</v>
      </c>
      <c r="D19" s="66">
        <v>610</v>
      </c>
      <c r="E19" s="139" t="s">
        <v>678</v>
      </c>
      <c r="F19" s="120">
        <f t="shared" ref="F19:N19" si="3">F6+F21-F84+F337-F343</f>
        <v>0</v>
      </c>
      <c r="G19" s="57">
        <f t="shared" si="3"/>
        <v>0</v>
      </c>
      <c r="H19" s="121">
        <f t="shared" si="3"/>
        <v>0</v>
      </c>
      <c r="I19" s="69">
        <f t="shared" si="3"/>
        <v>0</v>
      </c>
      <c r="J19" s="57">
        <f t="shared" si="3"/>
        <v>0</v>
      </c>
      <c r="K19" s="57">
        <f t="shared" si="3"/>
        <v>0</v>
      </c>
      <c r="L19" s="57">
        <f t="shared" si="3"/>
        <v>0</v>
      </c>
      <c r="M19" s="57">
        <f t="shared" si="3"/>
        <v>0</v>
      </c>
      <c r="N19" s="57">
        <f t="shared" si="3"/>
        <v>0</v>
      </c>
      <c r="O19" s="40">
        <f>ROW()</f>
        <v>19</v>
      </c>
      <c r="P19" s="40"/>
      <c r="Q19" s="39"/>
    </row>
    <row r="20" spans="1:17" ht="12" customHeight="1" thickBot="1" x14ac:dyDescent="0.35">
      <c r="A20" s="104" t="str">
        <f t="array" ref="A20">IFERROR(INDEX(КБК!E4:E420,SMALL(IF(((6101=КБК!F4:F420)*($C$19=КБК!G4:G420)*(NOT(ISERR(SEARCH($O$1,КБК!D4:D420))))),ROW(КБК!E4:E420)-КБК!A4+1,""),ROW()-$O$19)),"")</f>
        <v>временно 0000000003.610.0</v>
      </c>
      <c r="B20" s="105" t="str">
        <f t="array" ref="B20">IFERROR(INDEX(КБК!H4:H420,SMALL(IF(((6101=КБК!F4:F420)*($C$20=КБК!G4:G420)*(NOT(ISERR(SEARCH($O$1,КБК!D4:D420))))),ROW(КБК!E4:E420)-КБК!A4+1,""),ROW()-$O$19)),"")</f>
        <v>1102</v>
      </c>
      <c r="C20" s="106">
        <v>610</v>
      </c>
      <c r="D20" s="107">
        <v>610</v>
      </c>
      <c r="E20" s="141"/>
      <c r="F20" s="122">
        <f>I20+L20</f>
        <v>0</v>
      </c>
      <c r="G20" s="73">
        <f>J20+M20</f>
        <v>0</v>
      </c>
      <c r="H20" s="123">
        <f>K20+N20</f>
        <v>0</v>
      </c>
      <c r="I20" s="214"/>
      <c r="J20" s="73"/>
      <c r="K20" s="73"/>
      <c r="L20" s="73"/>
      <c r="M20" s="73"/>
      <c r="N20" s="73"/>
      <c r="O20" s="75"/>
      <c r="P20" s="40"/>
      <c r="Q20" s="39"/>
    </row>
    <row r="21" spans="1:17" ht="12" customHeight="1" x14ac:dyDescent="0.3">
      <c r="A21" s="132" t="s">
        <v>283</v>
      </c>
      <c r="B21" s="127" t="s">
        <v>202</v>
      </c>
      <c r="C21" s="133" t="s">
        <v>202</v>
      </c>
      <c r="D21" s="134" t="s">
        <v>202</v>
      </c>
      <c r="E21" s="142">
        <v>1000</v>
      </c>
      <c r="F21" s="128">
        <f>F22+F25+F43+F68+F71+F40+F75</f>
        <v>61183196.399999999</v>
      </c>
      <c r="G21" s="129">
        <f t="shared" ref="G21:N21" si="4">G22+G25+G43+G68+G71+G40+G75</f>
        <v>66468944.100000001</v>
      </c>
      <c r="H21" s="131">
        <f t="shared" si="4"/>
        <v>67755422.099999994</v>
      </c>
      <c r="I21" s="128">
        <f t="shared" si="4"/>
        <v>61183196.399999999</v>
      </c>
      <c r="J21" s="129">
        <f t="shared" si="4"/>
        <v>66468944.100000001</v>
      </c>
      <c r="K21" s="129">
        <f t="shared" si="4"/>
        <v>67755422.099999994</v>
      </c>
      <c r="L21" s="129">
        <f t="shared" si="4"/>
        <v>0</v>
      </c>
      <c r="M21" s="129">
        <f t="shared" si="4"/>
        <v>0</v>
      </c>
      <c r="N21" s="266">
        <f t="shared" si="4"/>
        <v>0</v>
      </c>
      <c r="O21" s="40"/>
      <c r="P21" s="40"/>
      <c r="Q21" s="39"/>
    </row>
    <row r="22" spans="1:17" ht="12" customHeight="1" x14ac:dyDescent="0.3">
      <c r="A22" s="60" t="s">
        <v>317</v>
      </c>
      <c r="B22" s="55" t="s">
        <v>202</v>
      </c>
      <c r="C22" s="56">
        <v>120</v>
      </c>
      <c r="D22" s="66">
        <v>121</v>
      </c>
      <c r="E22" s="140">
        <v>1100</v>
      </c>
      <c r="F22" s="124">
        <f t="shared" ref="F22:N22" si="5">SUM(F23:F24)</f>
        <v>170600</v>
      </c>
      <c r="G22" s="57">
        <f t="shared" si="5"/>
        <v>170600</v>
      </c>
      <c r="H22" s="125">
        <f t="shared" si="5"/>
        <v>170600</v>
      </c>
      <c r="I22" s="72">
        <f t="shared" si="5"/>
        <v>170600</v>
      </c>
      <c r="J22" s="57">
        <f t="shared" si="5"/>
        <v>170600</v>
      </c>
      <c r="K22" s="57">
        <f t="shared" si="5"/>
        <v>170600</v>
      </c>
      <c r="L22" s="57">
        <f t="shared" si="5"/>
        <v>0</v>
      </c>
      <c r="M22" s="57">
        <f t="shared" si="5"/>
        <v>0</v>
      </c>
      <c r="N22" s="57">
        <f t="shared" si="5"/>
        <v>0</v>
      </c>
      <c r="O22" s="40">
        <f>ROW()</f>
        <v>22</v>
      </c>
      <c r="P22" s="40"/>
      <c r="Q22" s="39"/>
    </row>
    <row r="23" spans="1:17" ht="12" customHeight="1" x14ac:dyDescent="0.3">
      <c r="A23" s="58" t="str">
        <f t="array" ref="A23:A24">IFERROR(INDEX(КБК!E4:E420,SMALL(IF((($D$22=КБК!F4:F420)*($C$22=КБК!G4:G420)*(NOT(ISERR(SEARCH($O$1,КБК!D4:D420))))),ROW(КБК!E4:E420)-КБК!A4+1,""),ROW()-$O$22)),"")</f>
        <v>аренда 0000000121.120.0</v>
      </c>
      <c r="B23" s="55" t="str">
        <f t="array" ref="B23:B24">IFERROR(INDEX(КБК!H4:H884,SMALL(IF((($D$23=КБК!F4:F420)*($C$23=КБК!G4:G420)*(NOT(ISERR(SEARCH($O$1,КБК!D4:D420))))),ROW(КБК!E4:E420)-КБК!A4+1,""),ROW()-$O$22)),"")</f>
        <v>1102</v>
      </c>
      <c r="C23" s="56">
        <v>120</v>
      </c>
      <c r="D23" s="66">
        <v>121</v>
      </c>
      <c r="E23" s="226"/>
      <c r="F23" s="120">
        <f t="shared" ref="F23:H24" si="6">I23+L23</f>
        <v>170600</v>
      </c>
      <c r="G23" s="57">
        <f t="shared" si="6"/>
        <v>170600</v>
      </c>
      <c r="H23" s="121">
        <f t="shared" si="6"/>
        <v>170600</v>
      </c>
      <c r="I23" s="70">
        <v>170600</v>
      </c>
      <c r="J23" s="59">
        <v>170600</v>
      </c>
      <c r="K23" s="59">
        <v>170600</v>
      </c>
      <c r="L23" s="59"/>
      <c r="M23" s="59"/>
      <c r="N23" s="59"/>
      <c r="O23" s="40"/>
      <c r="P23" s="40"/>
      <c r="Q23" s="39"/>
    </row>
    <row r="24" spans="1:17" ht="12" customHeight="1" x14ac:dyDescent="0.3">
      <c r="A24" s="58" t="str">
        <v/>
      </c>
      <c r="B24" s="55" t="str">
        <v/>
      </c>
      <c r="C24" s="56">
        <v>120</v>
      </c>
      <c r="D24" s="66">
        <v>121</v>
      </c>
      <c r="E24" s="226"/>
      <c r="F24" s="120">
        <f t="shared" si="6"/>
        <v>0</v>
      </c>
      <c r="G24" s="57">
        <f t="shared" si="6"/>
        <v>0</v>
      </c>
      <c r="H24" s="121">
        <f t="shared" si="6"/>
        <v>0</v>
      </c>
      <c r="I24" s="70"/>
      <c r="J24" s="59"/>
      <c r="K24" s="59"/>
      <c r="L24" s="59"/>
      <c r="M24" s="59"/>
      <c r="N24" s="59"/>
      <c r="O24" s="40"/>
      <c r="P24" s="40"/>
      <c r="Q24" s="39"/>
    </row>
    <row r="25" spans="1:17" ht="12" customHeight="1" x14ac:dyDescent="0.3">
      <c r="A25" s="60" t="s">
        <v>318</v>
      </c>
      <c r="B25" s="55" t="s">
        <v>202</v>
      </c>
      <c r="C25" s="56">
        <v>130</v>
      </c>
      <c r="D25" s="66" t="s">
        <v>202</v>
      </c>
      <c r="E25" s="140">
        <v>1200</v>
      </c>
      <c r="F25" s="124">
        <f>F26+F38+F39</f>
        <v>61012596.399999999</v>
      </c>
      <c r="G25" s="57">
        <f t="shared" ref="G25:N25" si="7">G26+G38+G39</f>
        <v>66298344.100000001</v>
      </c>
      <c r="H25" s="72">
        <f t="shared" si="7"/>
        <v>67584822.099999994</v>
      </c>
      <c r="I25" s="124">
        <f t="shared" si="7"/>
        <v>61012596.399999999</v>
      </c>
      <c r="J25" s="57">
        <f t="shared" si="7"/>
        <v>66298344.100000001</v>
      </c>
      <c r="K25" s="57">
        <f t="shared" si="7"/>
        <v>67584822.099999994</v>
      </c>
      <c r="L25" s="57">
        <f t="shared" si="7"/>
        <v>0</v>
      </c>
      <c r="M25" s="57">
        <f t="shared" si="7"/>
        <v>0</v>
      </c>
      <c r="N25" s="69">
        <f t="shared" si="7"/>
        <v>0</v>
      </c>
      <c r="P25" s="40"/>
      <c r="Q25" s="39"/>
    </row>
    <row r="26" spans="1:17" ht="12" customHeight="1" x14ac:dyDescent="0.3">
      <c r="A26" s="60" t="s">
        <v>676</v>
      </c>
      <c r="B26" s="55" t="s">
        <v>202</v>
      </c>
      <c r="C26" s="56">
        <v>130</v>
      </c>
      <c r="D26" s="66">
        <v>131</v>
      </c>
      <c r="E26" s="140">
        <v>1210</v>
      </c>
      <c r="F26" s="124">
        <f>SUM(F27:F37)</f>
        <v>58152596.399999999</v>
      </c>
      <c r="G26" s="57">
        <f t="shared" ref="G26:N26" si="8">SUM(G27:G37)</f>
        <v>63438344.100000001</v>
      </c>
      <c r="H26" s="72">
        <f t="shared" si="8"/>
        <v>64724822.100000001</v>
      </c>
      <c r="I26" s="124">
        <f t="shared" si="8"/>
        <v>58152596.399999999</v>
      </c>
      <c r="J26" s="57">
        <f t="shared" si="8"/>
        <v>63438344.100000001</v>
      </c>
      <c r="K26" s="57">
        <f t="shared" si="8"/>
        <v>64724822.100000001</v>
      </c>
      <c r="L26" s="57">
        <f t="shared" si="8"/>
        <v>0</v>
      </c>
      <c r="M26" s="57">
        <f t="shared" si="8"/>
        <v>0</v>
      </c>
      <c r="N26" s="69">
        <f t="shared" si="8"/>
        <v>0</v>
      </c>
      <c r="O26" s="40">
        <f>ROW()</f>
        <v>26</v>
      </c>
      <c r="P26" s="40"/>
      <c r="Q26" s="39"/>
    </row>
    <row r="27" spans="1:17" ht="12" customHeight="1" x14ac:dyDescent="0.3">
      <c r="A27" s="58" t="str">
        <f t="array" ref="A27:A37">IFERROR(INDEX(КБК!E421:E884,SMALL(IF((($D$26=КБК!F421:F884)*($C$26=КБК!G421:G884)*(NOT(ISERR(SEARCH($O$1,КБК!D421:D884))))),ROW(КБК!E421:E884)-КБК!A421+1,""),ROW()-$O$26)),"")</f>
        <v>учащийся 0120823590.130.0</v>
      </c>
      <c r="B27" s="55" t="str">
        <f t="array" ref="B27:B37">IFERROR(INDEX(КБК!H421:H884,SMALL(IF((($D$26=КБК!F420:F884)*($C$26=КБК!G420:G884)*(NOT(ISERR(SEARCH($O$1,КБК!D420:D884))))),ROW(КБК!E420:E884)-КБК!A421+1,""),ROW()-$O$26)),"")</f>
        <v>0703</v>
      </c>
      <c r="C27" s="56">
        <v>130</v>
      </c>
      <c r="D27" s="66">
        <v>131</v>
      </c>
      <c r="E27" s="140"/>
      <c r="F27" s="120">
        <f>I27+L27</f>
        <v>725457.6</v>
      </c>
      <c r="G27" s="57">
        <f t="shared" ref="G27:H37" si="9">J27+M27</f>
        <v>803700</v>
      </c>
      <c r="H27" s="121">
        <f t="shared" si="9"/>
        <v>839700</v>
      </c>
      <c r="I27" s="70">
        <v>725457.6</v>
      </c>
      <c r="J27" s="59">
        <v>803700</v>
      </c>
      <c r="K27" s="59">
        <v>839700</v>
      </c>
      <c r="L27" s="59"/>
      <c r="M27" s="59"/>
      <c r="N27" s="59"/>
      <c r="O27" s="40"/>
      <c r="P27" s="40"/>
      <c r="Q27" s="39"/>
    </row>
    <row r="28" spans="1:17" s="25" customFormat="1" ht="12" customHeight="1" x14ac:dyDescent="0.3">
      <c r="A28" s="58" t="str">
        <v>спорт 1130387590.130.0</v>
      </c>
      <c r="B28" s="55" t="str">
        <v>0703</v>
      </c>
      <c r="C28" s="61">
        <v>130</v>
      </c>
      <c r="D28" s="67">
        <v>131</v>
      </c>
      <c r="E28" s="143"/>
      <c r="F28" s="120">
        <f t="shared" ref="F28:F37" si="10">I28+L28</f>
        <v>7056176.4000000004</v>
      </c>
      <c r="G28" s="57">
        <f t="shared" si="9"/>
        <v>6977934</v>
      </c>
      <c r="H28" s="121">
        <f t="shared" si="9"/>
        <v>6941934</v>
      </c>
      <c r="I28" s="70">
        <v>7056176.4000000004</v>
      </c>
      <c r="J28" s="59">
        <v>6977934</v>
      </c>
      <c r="K28" s="59">
        <v>6941934</v>
      </c>
      <c r="L28" s="59"/>
      <c r="M28" s="59"/>
      <c r="N28" s="59"/>
      <c r="O28" s="40"/>
      <c r="P28" s="40"/>
      <c r="Q28" s="43"/>
    </row>
    <row r="29" spans="1:17" s="25" customFormat="1" ht="12" customHeight="1" x14ac:dyDescent="0.3">
      <c r="A29" s="58" t="str">
        <v>спорт 1130387590.130.0</v>
      </c>
      <c r="B29" s="55" t="str">
        <v>1102</v>
      </c>
      <c r="C29" s="61">
        <v>130</v>
      </c>
      <c r="D29" s="67">
        <v>131</v>
      </c>
      <c r="E29" s="143"/>
      <c r="F29" s="120">
        <f t="shared" si="10"/>
        <v>50370962.399999999</v>
      </c>
      <c r="G29" s="57">
        <f t="shared" si="9"/>
        <v>55656710.100000001</v>
      </c>
      <c r="H29" s="121">
        <f t="shared" si="9"/>
        <v>56943188.100000001</v>
      </c>
      <c r="I29" s="70">
        <v>50370962.399999999</v>
      </c>
      <c r="J29" s="59">
        <v>55656710.100000001</v>
      </c>
      <c r="K29" s="59">
        <v>56943188.100000001</v>
      </c>
      <c r="L29" s="59"/>
      <c r="M29" s="59"/>
      <c r="N29" s="59"/>
      <c r="O29" s="40"/>
      <c r="P29" s="40"/>
      <c r="Q29" s="43"/>
    </row>
    <row r="30" spans="1:17" s="25" customFormat="1" ht="12" customHeight="1" x14ac:dyDescent="0.3">
      <c r="A30" s="58" t="str">
        <v>спорт з/п 11303S2090.130.0</v>
      </c>
      <c r="B30" s="55" t="str">
        <v>1102</v>
      </c>
      <c r="C30" s="61">
        <v>130</v>
      </c>
      <c r="D30" s="67">
        <v>131</v>
      </c>
      <c r="E30" s="143"/>
      <c r="F30" s="120">
        <f t="shared" si="10"/>
        <v>0</v>
      </c>
      <c r="G30" s="57">
        <f t="shared" si="9"/>
        <v>0</v>
      </c>
      <c r="H30" s="121">
        <f t="shared" si="9"/>
        <v>0</v>
      </c>
      <c r="I30" s="70"/>
      <c r="J30" s="59"/>
      <c r="K30" s="59"/>
      <c r="L30" s="59"/>
      <c r="M30" s="59"/>
      <c r="N30" s="59"/>
      <c r="O30" s="40"/>
      <c r="P30" s="40"/>
      <c r="Q30" s="43"/>
    </row>
    <row r="31" spans="1:17" s="25" customFormat="1" ht="12" customHeight="1" x14ac:dyDescent="0.3">
      <c r="A31" s="58" t="str">
        <v>мин.з/п 11303S2190.130.0</v>
      </c>
      <c r="B31" s="55" t="str">
        <v>1102</v>
      </c>
      <c r="C31" s="61">
        <v>130</v>
      </c>
      <c r="D31" s="67">
        <v>131</v>
      </c>
      <c r="E31" s="143"/>
      <c r="F31" s="120">
        <f t="shared" si="10"/>
        <v>0</v>
      </c>
      <c r="G31" s="57">
        <f t="shared" si="9"/>
        <v>0</v>
      </c>
      <c r="H31" s="121">
        <f t="shared" si="9"/>
        <v>0</v>
      </c>
      <c r="I31" s="70"/>
      <c r="J31" s="59"/>
      <c r="K31" s="59"/>
      <c r="L31" s="59"/>
      <c r="M31" s="59"/>
      <c r="N31" s="59"/>
      <c r="O31" s="40"/>
      <c r="P31" s="40"/>
      <c r="Q31" s="43"/>
    </row>
    <row r="32" spans="1:17" s="25" customFormat="1" ht="12" customHeight="1" x14ac:dyDescent="0.3">
      <c r="A32" s="58" t="str">
        <v>полномочия 11303S2650.130.0</v>
      </c>
      <c r="B32" s="55" t="str">
        <v>1102</v>
      </c>
      <c r="C32" s="61">
        <v>130</v>
      </c>
      <c r="D32" s="67">
        <v>131</v>
      </c>
      <c r="E32" s="143"/>
      <c r="F32" s="120">
        <f t="shared" si="10"/>
        <v>0</v>
      </c>
      <c r="G32" s="57">
        <f t="shared" si="9"/>
        <v>0</v>
      </c>
      <c r="H32" s="121">
        <f t="shared" si="9"/>
        <v>0</v>
      </c>
      <c r="I32" s="70"/>
      <c r="J32" s="59"/>
      <c r="K32" s="59"/>
      <c r="L32" s="59"/>
      <c r="M32" s="59"/>
      <c r="N32" s="59"/>
      <c r="O32" s="40"/>
      <c r="P32" s="40"/>
      <c r="Q32" s="43"/>
    </row>
    <row r="33" spans="1:17" ht="12" customHeight="1" x14ac:dyDescent="0.3">
      <c r="A33" s="58" t="str">
        <v/>
      </c>
      <c r="B33" s="55" t="str">
        <v/>
      </c>
      <c r="C33" s="61">
        <v>130</v>
      </c>
      <c r="D33" s="66">
        <v>131</v>
      </c>
      <c r="E33" s="140"/>
      <c r="F33" s="120">
        <f t="shared" si="10"/>
        <v>0</v>
      </c>
      <c r="G33" s="57">
        <f t="shared" si="9"/>
        <v>0</v>
      </c>
      <c r="H33" s="121">
        <f t="shared" si="9"/>
        <v>0</v>
      </c>
      <c r="I33" s="70"/>
      <c r="J33" s="59"/>
      <c r="K33" s="59"/>
      <c r="L33" s="59"/>
      <c r="M33" s="59"/>
      <c r="N33" s="59"/>
      <c r="O33" s="40"/>
      <c r="P33" s="40"/>
      <c r="Q33" s="39"/>
    </row>
    <row r="34" spans="1:17" ht="12" customHeight="1" x14ac:dyDescent="0.3">
      <c r="A34" s="58" t="str">
        <v/>
      </c>
      <c r="B34" s="55" t="str">
        <v/>
      </c>
      <c r="C34" s="61">
        <v>130</v>
      </c>
      <c r="D34" s="66">
        <v>131</v>
      </c>
      <c r="E34" s="140"/>
      <c r="F34" s="120">
        <f t="shared" si="10"/>
        <v>0</v>
      </c>
      <c r="G34" s="57">
        <f t="shared" si="9"/>
        <v>0</v>
      </c>
      <c r="H34" s="121">
        <f t="shared" si="9"/>
        <v>0</v>
      </c>
      <c r="I34" s="70"/>
      <c r="J34" s="59"/>
      <c r="K34" s="59"/>
      <c r="L34" s="59"/>
      <c r="M34" s="59"/>
      <c r="N34" s="59"/>
      <c r="O34" s="40"/>
      <c r="P34" s="40"/>
      <c r="Q34" s="39"/>
    </row>
    <row r="35" spans="1:17" ht="12" customHeight="1" x14ac:dyDescent="0.3">
      <c r="A35" s="58" t="str">
        <v/>
      </c>
      <c r="B35" s="55" t="str">
        <v/>
      </c>
      <c r="C35" s="61">
        <v>130</v>
      </c>
      <c r="D35" s="66">
        <v>131</v>
      </c>
      <c r="E35" s="140"/>
      <c r="F35" s="120">
        <f t="shared" si="10"/>
        <v>0</v>
      </c>
      <c r="G35" s="57">
        <f t="shared" si="9"/>
        <v>0</v>
      </c>
      <c r="H35" s="121">
        <f t="shared" si="9"/>
        <v>0</v>
      </c>
      <c r="I35" s="70"/>
      <c r="J35" s="59"/>
      <c r="K35" s="59"/>
      <c r="L35" s="59"/>
      <c r="M35" s="59"/>
      <c r="N35" s="59"/>
      <c r="O35" s="40"/>
      <c r="P35" s="40"/>
      <c r="Q35" s="39"/>
    </row>
    <row r="36" spans="1:17" ht="12" customHeight="1" x14ac:dyDescent="0.3">
      <c r="A36" s="58" t="str">
        <v/>
      </c>
      <c r="B36" s="55" t="str">
        <v/>
      </c>
      <c r="C36" s="61">
        <v>130</v>
      </c>
      <c r="D36" s="66">
        <v>131</v>
      </c>
      <c r="E36" s="140"/>
      <c r="F36" s="124">
        <f t="shared" si="10"/>
        <v>0</v>
      </c>
      <c r="G36" s="57">
        <f t="shared" si="9"/>
        <v>0</v>
      </c>
      <c r="H36" s="121">
        <f t="shared" si="9"/>
        <v>0</v>
      </c>
      <c r="I36" s="70"/>
      <c r="J36" s="59"/>
      <c r="K36" s="59"/>
      <c r="L36" s="59"/>
      <c r="M36" s="59"/>
      <c r="N36" s="59"/>
      <c r="O36" s="40"/>
      <c r="P36" s="40"/>
      <c r="Q36" s="39"/>
    </row>
    <row r="37" spans="1:17" ht="12" customHeight="1" x14ac:dyDescent="0.3">
      <c r="A37" s="58" t="str">
        <v/>
      </c>
      <c r="B37" s="55" t="str">
        <v/>
      </c>
      <c r="C37" s="61">
        <v>130</v>
      </c>
      <c r="D37" s="66">
        <v>131</v>
      </c>
      <c r="E37" s="140"/>
      <c r="F37" s="124">
        <f t="shared" si="10"/>
        <v>0</v>
      </c>
      <c r="G37" s="57">
        <f t="shared" si="9"/>
        <v>0</v>
      </c>
      <c r="H37" s="121">
        <f t="shared" si="9"/>
        <v>0</v>
      </c>
      <c r="I37" s="70"/>
      <c r="J37" s="59"/>
      <c r="K37" s="59"/>
      <c r="L37" s="59"/>
      <c r="M37" s="59"/>
      <c r="N37" s="59"/>
      <c r="O37" s="40"/>
      <c r="P37" s="40"/>
      <c r="Q37" s="39"/>
    </row>
    <row r="38" spans="1:17" ht="12" customHeight="1" x14ac:dyDescent="0.3">
      <c r="A38" s="58" t="str">
        <f t="array" ref="A38">IFERROR(INDEX(КБК!E4:E420,SMALL(IF((($D$38=КБК!F4:F420)*($C$38=КБК!G4:G420)*(NOT(ISERR(SEARCH($O$1,КБК!D4:D420))))),ROW(КБК!E4:E420)-3,""),ROW()-$O$38+1)),"")</f>
        <v>доходы 0000000131.130.0</v>
      </c>
      <c r="B38" s="55" t="str">
        <f t="array" ref="B38">IFERROR(INDEX(КБК!H4:H884,SMALL(IF((($D$38=КБК!F4:F420)*($C$38=КБК!G4:G420)*(NOT(ISERR(SEARCH($O$1,КБК!D4:D420))))),ROW(КБК!E4:E420)-3,""),ROW()-$O$38+1)),"")</f>
        <v>1102</v>
      </c>
      <c r="C38" s="61">
        <v>130</v>
      </c>
      <c r="D38" s="66">
        <v>131</v>
      </c>
      <c r="E38" s="140"/>
      <c r="F38" s="124">
        <f t="shared" ref="F38:H39" si="11">I38+L38</f>
        <v>2800000</v>
      </c>
      <c r="G38" s="57">
        <f t="shared" si="11"/>
        <v>2800000</v>
      </c>
      <c r="H38" s="121">
        <f t="shared" si="11"/>
        <v>2800000</v>
      </c>
      <c r="I38" s="70">
        <v>2800000</v>
      </c>
      <c r="J38" s="59">
        <v>2800000</v>
      </c>
      <c r="K38" s="59">
        <v>2800000</v>
      </c>
      <c r="L38" s="59"/>
      <c r="M38" s="59"/>
      <c r="N38" s="59"/>
      <c r="O38" s="40">
        <f>ROW()</f>
        <v>38</v>
      </c>
      <c r="P38" s="40"/>
      <c r="Q38" s="39"/>
    </row>
    <row r="39" spans="1:17" ht="12" customHeight="1" x14ac:dyDescent="0.3">
      <c r="A39" s="58" t="str">
        <f t="array" ref="A39">IFERROR(INDEX(КБК!E4:E420,SMALL(IF((($D$39=КБК!F4:F420)*($C$39=КБК!G4:G420)*(NOT(ISERR(SEARCH($O$1,КБК!D4:D420))))),ROW(КБК!E4:E420)-3,""),ROW()-$O$39+1)),"")</f>
        <v>компенсация 000000135.130.0</v>
      </c>
      <c r="B39" s="55" t="str">
        <f t="array" ref="B39">IFERROR(INDEX(КБК!H4:H884,SMALL(IF((($D$39=КБК!F4:F884)*($C$39=КБК!G4:G884)*(NOT(ISERR(SEARCH($O$1,КБК!D4:D884))))),ROW(КБК!E4:E884)-3,""),ROW()-$O$39+1)),"")</f>
        <v>1102</v>
      </c>
      <c r="C39" s="61">
        <v>130</v>
      </c>
      <c r="D39" s="66">
        <v>135</v>
      </c>
      <c r="E39" s="140"/>
      <c r="F39" s="124">
        <f t="shared" si="11"/>
        <v>60000</v>
      </c>
      <c r="G39" s="57">
        <f t="shared" si="11"/>
        <v>60000</v>
      </c>
      <c r="H39" s="121">
        <f t="shared" si="11"/>
        <v>60000</v>
      </c>
      <c r="I39" s="70">
        <v>60000</v>
      </c>
      <c r="J39" s="59">
        <v>60000</v>
      </c>
      <c r="K39" s="59">
        <v>60000</v>
      </c>
      <c r="L39" s="59"/>
      <c r="M39" s="59"/>
      <c r="N39" s="59"/>
      <c r="O39" s="40">
        <f>ROW()</f>
        <v>39</v>
      </c>
      <c r="P39" s="40"/>
      <c r="Q39" s="39"/>
    </row>
    <row r="40" spans="1:17" ht="12" customHeight="1" x14ac:dyDescent="0.3">
      <c r="A40" s="62" t="s">
        <v>284</v>
      </c>
      <c r="B40" s="55" t="s">
        <v>202</v>
      </c>
      <c r="C40" s="61">
        <v>140</v>
      </c>
      <c r="D40" s="66" t="s">
        <v>202</v>
      </c>
      <c r="E40" s="140">
        <v>1300</v>
      </c>
      <c r="F40" s="120">
        <f>SUM(F41:F42)</f>
        <v>0</v>
      </c>
      <c r="G40" s="57">
        <f>SUM(G41:G42)</f>
        <v>0</v>
      </c>
      <c r="H40" s="121">
        <f>SUM(H41:H42)</f>
        <v>0</v>
      </c>
      <c r="I40" s="227">
        <f t="shared" ref="I40:N40" si="12">SUM(I41:I42)</f>
        <v>0</v>
      </c>
      <c r="J40" s="57">
        <f t="shared" si="12"/>
        <v>0</v>
      </c>
      <c r="K40" s="57">
        <f t="shared" si="12"/>
        <v>0</v>
      </c>
      <c r="L40" s="57">
        <f t="shared" si="12"/>
        <v>0</v>
      </c>
      <c r="M40" s="57">
        <f t="shared" si="12"/>
        <v>0</v>
      </c>
      <c r="N40" s="57">
        <f t="shared" si="12"/>
        <v>0</v>
      </c>
      <c r="O40" s="40">
        <f>ROW()</f>
        <v>40</v>
      </c>
      <c r="P40" s="40"/>
      <c r="Q40" s="39"/>
    </row>
    <row r="41" spans="1:17" ht="12" customHeight="1" x14ac:dyDescent="0.3">
      <c r="A41" s="58" t="str">
        <f t="array" ref="A41:A42">IFERROR(INDEX(КБК!E4:E420,SMALL(IF((($D$41=КБК!F4:F420)*($C$41=КБК!G4:G420)*(NOT(ISERR(SEARCH($O$1,КБК!D4:D420))))),ROW(КБК!E4:E420)-КБК!A4+1,""),ROW()-$O$40)),"")</f>
        <v>страховка 0000000143.140.0</v>
      </c>
      <c r="B41" s="55" t="str">
        <f t="array" ref="B41:B42">IFERROR(INDEX(КБК!H4:H884,SMALL(IF((($D$41=КБК!F4:F420)*($C$41=КБК!G4:G420)*(NOT(ISERR(SEARCH($O$1,КБК!D4:D420))))),ROW(КБК!E4:E420)-КБК!A4+1,""),ROW()-$O$40)),"")</f>
        <v>1102</v>
      </c>
      <c r="C41" s="61">
        <v>140</v>
      </c>
      <c r="D41" s="66">
        <v>143</v>
      </c>
      <c r="E41" s="140">
        <v>1310</v>
      </c>
      <c r="F41" s="120">
        <f t="shared" ref="F41:H42" si="13">I41+L41</f>
        <v>0</v>
      </c>
      <c r="G41" s="57">
        <f t="shared" si="13"/>
        <v>0</v>
      </c>
      <c r="H41" s="121">
        <f t="shared" si="13"/>
        <v>0</v>
      </c>
      <c r="I41" s="70"/>
      <c r="J41" s="59"/>
      <c r="K41" s="59"/>
      <c r="L41" s="59"/>
      <c r="M41" s="59"/>
      <c r="N41" s="59"/>
      <c r="O41" s="40"/>
      <c r="P41" s="40"/>
      <c r="Q41" s="39"/>
    </row>
    <row r="42" spans="1:17" ht="12" customHeight="1" x14ac:dyDescent="0.3">
      <c r="A42" s="58" t="str">
        <v/>
      </c>
      <c r="B42" s="55" t="str">
        <v/>
      </c>
      <c r="C42" s="61">
        <v>140</v>
      </c>
      <c r="D42" s="66">
        <v>143</v>
      </c>
      <c r="E42" s="226"/>
      <c r="F42" s="120">
        <f t="shared" si="13"/>
        <v>0</v>
      </c>
      <c r="G42" s="57">
        <f t="shared" si="13"/>
        <v>0</v>
      </c>
      <c r="H42" s="121">
        <f t="shared" si="13"/>
        <v>0</v>
      </c>
      <c r="I42" s="70"/>
      <c r="J42" s="59"/>
      <c r="K42" s="59"/>
      <c r="L42" s="59"/>
      <c r="M42" s="59"/>
      <c r="N42" s="59"/>
      <c r="O42" s="40"/>
      <c r="P42" s="40"/>
      <c r="Q42" s="39"/>
    </row>
    <row r="43" spans="1:17" ht="12" customHeight="1" x14ac:dyDescent="0.3">
      <c r="A43" s="60" t="s">
        <v>285</v>
      </c>
      <c r="B43" s="55" t="s">
        <v>202</v>
      </c>
      <c r="C43" s="56">
        <v>150</v>
      </c>
      <c r="D43" s="66" t="s">
        <v>202</v>
      </c>
      <c r="E43" s="140">
        <v>1400</v>
      </c>
      <c r="F43" s="124">
        <f>F60+F44+F63+F61</f>
        <v>0</v>
      </c>
      <c r="G43" s="57">
        <f t="shared" ref="G43:N43" si="14">G60+G44+G63+G61</f>
        <v>0</v>
      </c>
      <c r="H43" s="72">
        <f t="shared" si="14"/>
        <v>0</v>
      </c>
      <c r="I43" s="124">
        <f t="shared" si="14"/>
        <v>0</v>
      </c>
      <c r="J43" s="57">
        <f t="shared" si="14"/>
        <v>0</v>
      </c>
      <c r="K43" s="57">
        <f t="shared" si="14"/>
        <v>0</v>
      </c>
      <c r="L43" s="57">
        <f t="shared" si="14"/>
        <v>0</v>
      </c>
      <c r="M43" s="57">
        <f t="shared" si="14"/>
        <v>0</v>
      </c>
      <c r="N43" s="69">
        <f t="shared" si="14"/>
        <v>0</v>
      </c>
      <c r="O43" s="24">
        <f>ROW()</f>
        <v>43</v>
      </c>
      <c r="P43" s="40"/>
      <c r="Q43" s="39"/>
    </row>
    <row r="44" spans="1:17" ht="12" customHeight="1" x14ac:dyDescent="0.3">
      <c r="A44" s="62" t="s">
        <v>315</v>
      </c>
      <c r="B44" s="55" t="s">
        <v>202</v>
      </c>
      <c r="C44" s="56">
        <v>150</v>
      </c>
      <c r="D44" s="66">
        <v>152</v>
      </c>
      <c r="E44" s="140">
        <v>1410</v>
      </c>
      <c r="F44" s="124">
        <f t="shared" ref="F44:N44" si="15">SUM(F45:F59)</f>
        <v>0</v>
      </c>
      <c r="G44" s="57">
        <f t="shared" si="15"/>
        <v>0</v>
      </c>
      <c r="H44" s="125">
        <f t="shared" si="15"/>
        <v>0</v>
      </c>
      <c r="I44" s="72">
        <f t="shared" si="15"/>
        <v>0</v>
      </c>
      <c r="J44" s="57">
        <f t="shared" si="15"/>
        <v>0</v>
      </c>
      <c r="K44" s="57">
        <f t="shared" si="15"/>
        <v>0</v>
      </c>
      <c r="L44" s="57">
        <f t="shared" si="15"/>
        <v>0</v>
      </c>
      <c r="M44" s="57">
        <f t="shared" si="15"/>
        <v>0</v>
      </c>
      <c r="N44" s="57">
        <f t="shared" si="15"/>
        <v>0</v>
      </c>
      <c r="O44" s="40">
        <f>ROW()</f>
        <v>44</v>
      </c>
      <c r="P44" s="40"/>
      <c r="Q44" s="39"/>
    </row>
    <row r="45" spans="1:17" ht="12" customHeight="1" x14ac:dyDescent="0.3">
      <c r="A45" s="58" t="str">
        <f t="array" ref="A45:A60">IFERROR(INDEX(КБК!E888:E1045,SMALL(IF((($D$44=КБК!F888:F1045)*($C$44=КБК!G888:G1045)*(NOT(ISERR(SEARCH($O$1,КБК!D888:D1045))))),ROW(КБК!E888:E1045)-КБК!A888+1,""),ROW()-$O$44)),"")</f>
        <v>двор.практика 0160425170.150.0</v>
      </c>
      <c r="B45" s="55" t="str">
        <f t="array" ref="B45:B60">IFERROR(INDEX(КБК!H888:H1045,SMALL(IF((($D$44=КБК!F888:F1045)*($C$44=КБК!G888:G1045)*(NOT(ISERR(SEARCH($O$1,КБК!D888:D1045))))),ROW(КБК!E888:E1045)-КБК!A888+1,""),ROW()-$O$44)),"")</f>
        <v>0707</v>
      </c>
      <c r="C45" s="56">
        <v>150</v>
      </c>
      <c r="D45" s="66">
        <v>152</v>
      </c>
      <c r="E45" s="140"/>
      <c r="F45" s="124">
        <f>I45+L45</f>
        <v>0</v>
      </c>
      <c r="G45" s="57">
        <f t="shared" ref="G45:H59" si="16">J45+M45</f>
        <v>0</v>
      </c>
      <c r="H45" s="121">
        <f t="shared" si="16"/>
        <v>0</v>
      </c>
      <c r="I45" s="70"/>
      <c r="J45" s="59"/>
      <c r="K45" s="59"/>
      <c r="L45" s="59"/>
      <c r="M45" s="59"/>
      <c r="N45" s="59"/>
      <c r="O45" s="40"/>
      <c r="P45" s="40"/>
      <c r="Q45" s="39"/>
    </row>
    <row r="46" spans="1:17" ht="12" customHeight="1" x14ac:dyDescent="0.3">
      <c r="A46" s="58" t="str">
        <v>парк Покровский 2200274650.150.0</v>
      </c>
      <c r="B46" s="55" t="str">
        <v>0503</v>
      </c>
      <c r="C46" s="56">
        <v>150</v>
      </c>
      <c r="D46" s="66">
        <v>152</v>
      </c>
      <c r="E46" s="140"/>
      <c r="F46" s="124">
        <f t="shared" ref="F46:F59" si="17">I46+L46</f>
        <v>0</v>
      </c>
      <c r="G46" s="57">
        <f t="shared" si="16"/>
        <v>0</v>
      </c>
      <c r="H46" s="121">
        <f t="shared" si="16"/>
        <v>0</v>
      </c>
      <c r="I46" s="70"/>
      <c r="J46" s="59"/>
      <c r="K46" s="59"/>
      <c r="L46" s="59"/>
      <c r="M46" s="59"/>
      <c r="N46" s="59"/>
      <c r="O46" s="40"/>
      <c r="P46" s="40"/>
      <c r="Q46" s="39"/>
    </row>
    <row r="47" spans="1:17" ht="12" customHeight="1" x14ac:dyDescent="0.3">
      <c r="A47" s="58" t="str">
        <v>поддержка 7770622000.150.0</v>
      </c>
      <c r="B47" s="55" t="str">
        <v>1102</v>
      </c>
      <c r="C47" s="56">
        <v>150</v>
      </c>
      <c r="D47" s="66">
        <v>152</v>
      </c>
      <c r="E47" s="140"/>
      <c r="F47" s="124">
        <f t="shared" si="17"/>
        <v>0</v>
      </c>
      <c r="G47" s="57">
        <f t="shared" si="16"/>
        <v>0</v>
      </c>
      <c r="H47" s="121">
        <f t="shared" si="16"/>
        <v>0</v>
      </c>
      <c r="I47" s="70"/>
      <c r="J47" s="59"/>
      <c r="K47" s="59"/>
      <c r="L47" s="59"/>
      <c r="M47" s="59"/>
      <c r="N47" s="59"/>
      <c r="O47" s="40"/>
      <c r="P47" s="40"/>
      <c r="Q47" s="39"/>
    </row>
    <row r="48" spans="1:17" ht="12" customHeight="1" x14ac:dyDescent="0.3">
      <c r="A48" s="58" t="str">
        <v/>
      </c>
      <c r="B48" s="55" t="str">
        <v/>
      </c>
      <c r="C48" s="56">
        <v>150</v>
      </c>
      <c r="D48" s="66">
        <v>152</v>
      </c>
      <c r="E48" s="140"/>
      <c r="F48" s="124">
        <f t="shared" si="17"/>
        <v>0</v>
      </c>
      <c r="G48" s="57">
        <f t="shared" si="16"/>
        <v>0</v>
      </c>
      <c r="H48" s="121">
        <f t="shared" si="16"/>
        <v>0</v>
      </c>
      <c r="I48" s="70"/>
      <c r="J48" s="59"/>
      <c r="K48" s="59"/>
      <c r="L48" s="59"/>
      <c r="M48" s="59"/>
      <c r="N48" s="59"/>
      <c r="O48" s="40"/>
      <c r="P48" s="40"/>
      <c r="Q48" s="39"/>
    </row>
    <row r="49" spans="1:17" ht="12" customHeight="1" x14ac:dyDescent="0.3">
      <c r="A49" s="58" t="str">
        <v/>
      </c>
      <c r="B49" s="55" t="str">
        <v/>
      </c>
      <c r="C49" s="56">
        <v>150</v>
      </c>
      <c r="D49" s="66">
        <v>152</v>
      </c>
      <c r="E49" s="140"/>
      <c r="F49" s="124">
        <f t="shared" si="17"/>
        <v>0</v>
      </c>
      <c r="G49" s="57">
        <f t="shared" si="16"/>
        <v>0</v>
      </c>
      <c r="H49" s="121">
        <f t="shared" si="16"/>
        <v>0</v>
      </c>
      <c r="I49" s="70"/>
      <c r="J49" s="59"/>
      <c r="K49" s="59"/>
      <c r="L49" s="59"/>
      <c r="M49" s="59"/>
      <c r="N49" s="59"/>
      <c r="O49" s="40"/>
      <c r="P49" s="40"/>
      <c r="Q49" s="39"/>
    </row>
    <row r="50" spans="1:17" ht="12" customHeight="1" x14ac:dyDescent="0.3">
      <c r="A50" s="58" t="str">
        <v/>
      </c>
      <c r="B50" s="55" t="str">
        <v/>
      </c>
      <c r="C50" s="56">
        <v>150</v>
      </c>
      <c r="D50" s="66">
        <v>152</v>
      </c>
      <c r="E50" s="140"/>
      <c r="F50" s="124">
        <f t="shared" si="17"/>
        <v>0</v>
      </c>
      <c r="G50" s="57">
        <f t="shared" si="16"/>
        <v>0</v>
      </c>
      <c r="H50" s="121">
        <f t="shared" si="16"/>
        <v>0</v>
      </c>
      <c r="I50" s="70"/>
      <c r="J50" s="59"/>
      <c r="K50" s="59"/>
      <c r="L50" s="59"/>
      <c r="M50" s="59"/>
      <c r="N50" s="59"/>
      <c r="O50" s="40"/>
      <c r="P50" s="40"/>
      <c r="Q50" s="39"/>
    </row>
    <row r="51" spans="1:17" ht="12" customHeight="1" x14ac:dyDescent="0.3">
      <c r="A51" s="58" t="str">
        <v/>
      </c>
      <c r="B51" s="55" t="str">
        <v/>
      </c>
      <c r="C51" s="56">
        <v>150</v>
      </c>
      <c r="D51" s="66">
        <v>152</v>
      </c>
      <c r="E51" s="140"/>
      <c r="F51" s="124">
        <f t="shared" si="17"/>
        <v>0</v>
      </c>
      <c r="G51" s="57">
        <f t="shared" si="16"/>
        <v>0</v>
      </c>
      <c r="H51" s="121">
        <f t="shared" si="16"/>
        <v>0</v>
      </c>
      <c r="I51" s="70"/>
      <c r="J51" s="59"/>
      <c r="K51" s="59"/>
      <c r="L51" s="59"/>
      <c r="M51" s="59"/>
      <c r="N51" s="59"/>
      <c r="O51" s="40"/>
      <c r="P51" s="40"/>
      <c r="Q51" s="39"/>
    </row>
    <row r="52" spans="1:17" ht="12" customHeight="1" x14ac:dyDescent="0.3">
      <c r="A52" s="58" t="str">
        <v/>
      </c>
      <c r="B52" s="55" t="str">
        <v/>
      </c>
      <c r="C52" s="56">
        <v>150</v>
      </c>
      <c r="D52" s="66">
        <v>152</v>
      </c>
      <c r="E52" s="140"/>
      <c r="F52" s="124">
        <f t="shared" si="17"/>
        <v>0</v>
      </c>
      <c r="G52" s="57">
        <f t="shared" si="16"/>
        <v>0</v>
      </c>
      <c r="H52" s="121">
        <f t="shared" si="16"/>
        <v>0</v>
      </c>
      <c r="I52" s="70"/>
      <c r="J52" s="59"/>
      <c r="K52" s="59"/>
      <c r="L52" s="59"/>
      <c r="M52" s="59"/>
      <c r="N52" s="59"/>
      <c r="O52" s="40"/>
      <c r="P52" s="40"/>
      <c r="Q52" s="39"/>
    </row>
    <row r="53" spans="1:17" ht="12" customHeight="1" x14ac:dyDescent="0.3">
      <c r="A53" s="58" t="str">
        <v/>
      </c>
      <c r="B53" s="55" t="str">
        <v/>
      </c>
      <c r="C53" s="56">
        <v>150</v>
      </c>
      <c r="D53" s="66">
        <v>152</v>
      </c>
      <c r="E53" s="140"/>
      <c r="F53" s="124">
        <f t="shared" si="17"/>
        <v>0</v>
      </c>
      <c r="G53" s="57">
        <f t="shared" si="16"/>
        <v>0</v>
      </c>
      <c r="H53" s="121">
        <f t="shared" si="16"/>
        <v>0</v>
      </c>
      <c r="I53" s="70"/>
      <c r="J53" s="59"/>
      <c r="K53" s="59"/>
      <c r="L53" s="59"/>
      <c r="M53" s="59"/>
      <c r="N53" s="59"/>
      <c r="O53" s="40"/>
      <c r="P53" s="40"/>
      <c r="Q53" s="39"/>
    </row>
    <row r="54" spans="1:17" ht="12" customHeight="1" x14ac:dyDescent="0.3">
      <c r="A54" s="58" t="str">
        <v/>
      </c>
      <c r="B54" s="55" t="str">
        <v/>
      </c>
      <c r="C54" s="56">
        <v>150</v>
      </c>
      <c r="D54" s="66">
        <v>152</v>
      </c>
      <c r="E54" s="140"/>
      <c r="F54" s="124">
        <f t="shared" si="17"/>
        <v>0</v>
      </c>
      <c r="G54" s="57">
        <f t="shared" si="16"/>
        <v>0</v>
      </c>
      <c r="H54" s="121">
        <f t="shared" si="16"/>
        <v>0</v>
      </c>
      <c r="I54" s="70"/>
      <c r="J54" s="59"/>
      <c r="K54" s="59"/>
      <c r="L54" s="59"/>
      <c r="M54" s="59"/>
      <c r="N54" s="59"/>
      <c r="O54" s="40"/>
      <c r="P54" s="40"/>
      <c r="Q54" s="39"/>
    </row>
    <row r="55" spans="1:17" ht="12" customHeight="1" x14ac:dyDescent="0.3">
      <c r="A55" s="58" t="str">
        <v/>
      </c>
      <c r="B55" s="55" t="str">
        <v/>
      </c>
      <c r="C55" s="56">
        <v>150</v>
      </c>
      <c r="D55" s="66">
        <v>152</v>
      </c>
      <c r="E55" s="140"/>
      <c r="F55" s="124">
        <f t="shared" si="17"/>
        <v>0</v>
      </c>
      <c r="G55" s="57">
        <f t="shared" si="16"/>
        <v>0</v>
      </c>
      <c r="H55" s="121">
        <f t="shared" si="16"/>
        <v>0</v>
      </c>
      <c r="I55" s="70"/>
      <c r="J55" s="59"/>
      <c r="K55" s="59"/>
      <c r="L55" s="59"/>
      <c r="M55" s="59"/>
      <c r="N55" s="59"/>
      <c r="O55" s="40"/>
      <c r="P55" s="40"/>
      <c r="Q55" s="39"/>
    </row>
    <row r="56" spans="1:17" ht="12" customHeight="1" x14ac:dyDescent="0.3">
      <c r="A56" s="58" t="str">
        <v/>
      </c>
      <c r="B56" s="55" t="str">
        <v/>
      </c>
      <c r="C56" s="56">
        <v>150</v>
      </c>
      <c r="D56" s="66">
        <v>152</v>
      </c>
      <c r="E56" s="140"/>
      <c r="F56" s="124">
        <f t="shared" si="17"/>
        <v>0</v>
      </c>
      <c r="G56" s="57">
        <f t="shared" si="16"/>
        <v>0</v>
      </c>
      <c r="H56" s="121">
        <f t="shared" si="16"/>
        <v>0</v>
      </c>
      <c r="I56" s="70"/>
      <c r="J56" s="59"/>
      <c r="K56" s="59"/>
      <c r="L56" s="59"/>
      <c r="M56" s="59"/>
      <c r="N56" s="59"/>
      <c r="O56" s="40"/>
      <c r="P56" s="40"/>
      <c r="Q56" s="39"/>
    </row>
    <row r="57" spans="1:17" ht="12" customHeight="1" x14ac:dyDescent="0.3">
      <c r="A57" s="58" t="str">
        <v/>
      </c>
      <c r="B57" s="55" t="str">
        <v/>
      </c>
      <c r="C57" s="56">
        <v>150</v>
      </c>
      <c r="D57" s="66">
        <v>152</v>
      </c>
      <c r="E57" s="140"/>
      <c r="F57" s="124">
        <f t="shared" si="17"/>
        <v>0</v>
      </c>
      <c r="G57" s="57">
        <f t="shared" si="16"/>
        <v>0</v>
      </c>
      <c r="H57" s="121">
        <f t="shared" si="16"/>
        <v>0</v>
      </c>
      <c r="I57" s="70"/>
      <c r="J57" s="59"/>
      <c r="K57" s="59"/>
      <c r="L57" s="59"/>
      <c r="M57" s="59"/>
      <c r="N57" s="59"/>
      <c r="O57" s="40"/>
      <c r="P57" s="40"/>
      <c r="Q57" s="39"/>
    </row>
    <row r="58" spans="1:17" ht="12" customHeight="1" x14ac:dyDescent="0.3">
      <c r="A58" s="58" t="str">
        <v/>
      </c>
      <c r="B58" s="55" t="str">
        <v/>
      </c>
      <c r="C58" s="56">
        <v>150</v>
      </c>
      <c r="D58" s="66">
        <v>152</v>
      </c>
      <c r="E58" s="140"/>
      <c r="F58" s="124">
        <f t="shared" si="17"/>
        <v>0</v>
      </c>
      <c r="G58" s="57">
        <f t="shared" si="16"/>
        <v>0</v>
      </c>
      <c r="H58" s="121">
        <f t="shared" si="16"/>
        <v>0</v>
      </c>
      <c r="I58" s="70"/>
      <c r="J58" s="59"/>
      <c r="K58" s="59"/>
      <c r="L58" s="59"/>
      <c r="M58" s="59"/>
      <c r="N58" s="59"/>
      <c r="O58" s="40"/>
      <c r="P58" s="40"/>
      <c r="Q58" s="39"/>
    </row>
    <row r="59" spans="1:17" ht="12" customHeight="1" x14ac:dyDescent="0.3">
      <c r="A59" s="58" t="str">
        <v/>
      </c>
      <c r="B59" s="55" t="str">
        <v/>
      </c>
      <c r="C59" s="56">
        <v>150</v>
      </c>
      <c r="D59" s="66">
        <v>152</v>
      </c>
      <c r="E59" s="140"/>
      <c r="F59" s="124">
        <f t="shared" si="17"/>
        <v>0</v>
      </c>
      <c r="G59" s="57">
        <f t="shared" si="16"/>
        <v>0</v>
      </c>
      <c r="H59" s="121">
        <f t="shared" si="16"/>
        <v>0</v>
      </c>
      <c r="I59" s="70"/>
      <c r="J59" s="59"/>
      <c r="K59" s="59"/>
      <c r="L59" s="59"/>
      <c r="M59" s="59"/>
      <c r="N59" s="59"/>
      <c r="O59" s="40"/>
      <c r="P59" s="40"/>
      <c r="Q59" s="39"/>
    </row>
    <row r="60" spans="1:17" ht="12" customHeight="1" x14ac:dyDescent="0.3">
      <c r="A60" s="31" t="str">
        <v/>
      </c>
      <c r="B60" s="24" t="str">
        <v/>
      </c>
      <c r="C60" s="39">
        <v>150</v>
      </c>
      <c r="D60" s="302">
        <v>152</v>
      </c>
      <c r="E60" s="140"/>
      <c r="F60" s="124">
        <f t="shared" ref="F60:H61" si="18">I60+L60</f>
        <v>0</v>
      </c>
      <c r="G60" s="57">
        <f t="shared" si="18"/>
        <v>0</v>
      </c>
      <c r="H60" s="121">
        <f t="shared" si="18"/>
        <v>0</v>
      </c>
      <c r="I60" s="70"/>
      <c r="J60" s="59"/>
      <c r="K60" s="59"/>
      <c r="L60" s="59"/>
      <c r="M60" s="59"/>
      <c r="N60" s="59"/>
      <c r="P60" s="40"/>
      <c r="Q60" s="39"/>
    </row>
    <row r="61" spans="1:17" ht="12" customHeight="1" x14ac:dyDescent="0.3">
      <c r="A61" s="58" t="str">
        <f t="array" ref="A61">IFERROR(INDEX(КБК!E4:E420,SMALL(IF((($D$61=КБК!F4:F420)*($C$61=КБК!G4:G420)*(NOT(ISERR(SEARCH($O$1,КБК!D4:D420))))),ROW(КБК!E4:E420)-КБК!A4+1,""),ROW()-$O$61+1)),"")</f>
        <v>спонсор 0000000155.150.0</v>
      </c>
      <c r="B61" s="55" t="str">
        <f t="array" ref="B61">IFERROR(INDEX(КБК!H4:H420,SMALL(IF((($D$61=КБК!F4:F420)*($C$61=КБК!G4:G420)*(NOT(ISERR(SEARCH($O$1,КБК!D4:D420))))),ROW(КБК!E4:E420)-КБК!A4+1,""),ROW()-$O$61+1)),"")</f>
        <v>1102</v>
      </c>
      <c r="C61" s="56">
        <v>150</v>
      </c>
      <c r="D61" s="66">
        <v>155</v>
      </c>
      <c r="E61" s="226"/>
      <c r="F61" s="124">
        <f t="shared" si="18"/>
        <v>0</v>
      </c>
      <c r="G61" s="57">
        <f t="shared" si="18"/>
        <v>0</v>
      </c>
      <c r="H61" s="121">
        <f t="shared" si="18"/>
        <v>0</v>
      </c>
      <c r="I61" s="70"/>
      <c r="J61" s="59"/>
      <c r="K61" s="59"/>
      <c r="L61" s="59"/>
      <c r="M61" s="59"/>
      <c r="N61" s="59"/>
      <c r="O61" s="40">
        <f>ROW()</f>
        <v>61</v>
      </c>
      <c r="P61" s="40"/>
      <c r="Q61" s="39"/>
    </row>
    <row r="62" spans="1:17" ht="12" customHeight="1" x14ac:dyDescent="0.3">
      <c r="A62" s="58" t="str">
        <f t="array" ref="A62">IFERROR(INDEX(КБК!E4:E420,SMALL(IF((($D$62=КБК!F4:F420)*($C$62=КБК!G4:G420)*(NOT(ISERR(SEARCH($O$1,КБК!D4:D420))))),ROW(КБК!E4:E420)-КБК!A4+1,""),ROW()-$O$62+1)),"")</f>
        <v/>
      </c>
      <c r="B62" s="55" t="str">
        <f t="array" ref="B62">IFERROR(INDEX(КБК!H4:H420,SMALL(IF((($D$62=КБК!F4:F420)*($C$62=КБК!G4:G420)*(NOT(ISERR(SEARCH($O$1,КБК!D4:D420))))),ROW(КБК!E4:E420)-КБК!A4+1,""),ROW()-$O$62+1)),"")</f>
        <v/>
      </c>
      <c r="C62" s="56">
        <v>150</v>
      </c>
      <c r="D62" s="66">
        <v>162</v>
      </c>
      <c r="E62" s="226"/>
      <c r="F62" s="124"/>
      <c r="G62" s="57"/>
      <c r="H62" s="121"/>
      <c r="I62" s="70"/>
      <c r="J62" s="59"/>
      <c r="K62" s="59"/>
      <c r="L62" s="59"/>
      <c r="M62" s="59"/>
      <c r="N62" s="59"/>
      <c r="O62" s="40">
        <f>ROW()</f>
        <v>62</v>
      </c>
      <c r="P62" s="40"/>
      <c r="Q62" s="39"/>
    </row>
    <row r="63" spans="1:17" ht="12" customHeight="1" x14ac:dyDescent="0.3">
      <c r="A63" s="62" t="s">
        <v>320</v>
      </c>
      <c r="B63" s="55" t="s">
        <v>202</v>
      </c>
      <c r="C63" s="56">
        <v>150</v>
      </c>
      <c r="D63" s="66">
        <v>162</v>
      </c>
      <c r="E63" s="140">
        <v>1420</v>
      </c>
      <c r="F63" s="124">
        <f>SUM(F64:F67)</f>
        <v>0</v>
      </c>
      <c r="G63" s="57">
        <f t="shared" ref="G63:N63" si="19">SUM(G64:G67)</f>
        <v>0</v>
      </c>
      <c r="H63" s="121">
        <f t="shared" si="19"/>
        <v>0</v>
      </c>
      <c r="I63" s="69">
        <f t="shared" si="19"/>
        <v>0</v>
      </c>
      <c r="J63" s="57">
        <f t="shared" si="19"/>
        <v>0</v>
      </c>
      <c r="K63" s="57">
        <f t="shared" si="19"/>
        <v>0</v>
      </c>
      <c r="L63" s="57">
        <f t="shared" si="19"/>
        <v>0</v>
      </c>
      <c r="M63" s="57">
        <f t="shared" si="19"/>
        <v>0</v>
      </c>
      <c r="N63" s="57">
        <f t="shared" si="19"/>
        <v>0</v>
      </c>
      <c r="O63" s="40">
        <f>ROW()</f>
        <v>63</v>
      </c>
      <c r="P63" s="40"/>
      <c r="Q63" s="39"/>
    </row>
    <row r="64" spans="1:17" ht="12" customHeight="1" x14ac:dyDescent="0.3">
      <c r="A64" s="58" t="str">
        <f t="array" ref="A64:A67">IFERROR(INDEX(КБК!E888:E1045,SMALL(IF((($D$63=КБК!F888:F1045)*($C$63=КБК!G888:G1045)*(NOT(ISERR(SEARCH($O$1,КБК!D888:D1045))))),ROW(КБК!E888:E1045)-КБК!A888+1,""),ROW()-$O$63)),"")</f>
        <v/>
      </c>
      <c r="B64" s="55" t="str">
        <f t="array" ref="B64:B67">IFERROR(INDEX(КБК!H1023:H1045,SMALL(IF((($D$63=КБК!F1023:F1045)*($C$63=КБК!G1023:G1045)*(NOT(ISERR(SEARCH($O$1,КБК!D1023:D1045))))),ROW(КБК!E1023:E1045)-КБК!$A$888+1,""),ROW()-$O$63)),"")</f>
        <v/>
      </c>
      <c r="C64" s="56">
        <v>150</v>
      </c>
      <c r="D64" s="66">
        <v>162</v>
      </c>
      <c r="E64" s="140"/>
      <c r="F64" s="124">
        <f>I64+L64</f>
        <v>0</v>
      </c>
      <c r="G64" s="57">
        <f t="shared" ref="G64:H67" si="20">J64+M64</f>
        <v>0</v>
      </c>
      <c r="H64" s="121">
        <f t="shared" si="20"/>
        <v>0</v>
      </c>
      <c r="I64" s="70"/>
      <c r="J64" s="59"/>
      <c r="K64" s="59"/>
      <c r="L64" s="59"/>
      <c r="M64" s="59"/>
      <c r="N64" s="59"/>
      <c r="O64" s="40"/>
      <c r="P64" s="40"/>
      <c r="Q64" s="39"/>
    </row>
    <row r="65" spans="1:17" ht="12" customHeight="1" x14ac:dyDescent="0.3">
      <c r="A65" s="58" t="str">
        <v/>
      </c>
      <c r="B65" s="55" t="str">
        <v/>
      </c>
      <c r="C65" s="56">
        <v>150</v>
      </c>
      <c r="D65" s="66">
        <v>162</v>
      </c>
      <c r="E65" s="140"/>
      <c r="F65" s="124">
        <f>I65+L65</f>
        <v>0</v>
      </c>
      <c r="G65" s="57">
        <f t="shared" si="20"/>
        <v>0</v>
      </c>
      <c r="H65" s="121">
        <f t="shared" si="20"/>
        <v>0</v>
      </c>
      <c r="I65" s="70"/>
      <c r="J65" s="59"/>
      <c r="K65" s="59"/>
      <c r="L65" s="59"/>
      <c r="M65" s="59"/>
      <c r="N65" s="59"/>
      <c r="O65" s="40"/>
      <c r="P65" s="40"/>
      <c r="Q65" s="39"/>
    </row>
    <row r="66" spans="1:17" ht="12" customHeight="1" x14ac:dyDescent="0.3">
      <c r="A66" s="58" t="str">
        <v/>
      </c>
      <c r="B66" s="55" t="str">
        <v/>
      </c>
      <c r="C66" s="56">
        <v>150</v>
      </c>
      <c r="D66" s="66">
        <v>162</v>
      </c>
      <c r="E66" s="140"/>
      <c r="F66" s="124">
        <f>I66+L66</f>
        <v>0</v>
      </c>
      <c r="G66" s="57">
        <f t="shared" si="20"/>
        <v>0</v>
      </c>
      <c r="H66" s="121">
        <f t="shared" si="20"/>
        <v>0</v>
      </c>
      <c r="I66" s="70"/>
      <c r="J66" s="59"/>
      <c r="K66" s="59"/>
      <c r="L66" s="59"/>
      <c r="M66" s="59"/>
      <c r="N66" s="59"/>
      <c r="O66" s="40"/>
      <c r="P66" s="40"/>
      <c r="Q66" s="39"/>
    </row>
    <row r="67" spans="1:17" ht="12" customHeight="1" x14ac:dyDescent="0.3">
      <c r="A67" s="58" t="str">
        <v/>
      </c>
      <c r="B67" s="55" t="str">
        <v/>
      </c>
      <c r="C67" s="56">
        <v>150</v>
      </c>
      <c r="D67" s="66">
        <v>162</v>
      </c>
      <c r="E67" s="140"/>
      <c r="F67" s="124">
        <f>I67+L67</f>
        <v>0</v>
      </c>
      <c r="G67" s="57">
        <f t="shared" si="20"/>
        <v>0</v>
      </c>
      <c r="H67" s="121">
        <f t="shared" si="20"/>
        <v>0</v>
      </c>
      <c r="I67" s="70"/>
      <c r="J67" s="59"/>
      <c r="K67" s="59"/>
      <c r="L67" s="59"/>
      <c r="M67" s="59"/>
      <c r="N67" s="59"/>
      <c r="O67" s="40"/>
      <c r="P67" s="40"/>
      <c r="Q67" s="39"/>
    </row>
    <row r="68" spans="1:17" ht="12" customHeight="1" x14ac:dyDescent="0.3">
      <c r="A68" s="62" t="s">
        <v>314</v>
      </c>
      <c r="B68" s="55" t="s">
        <v>202</v>
      </c>
      <c r="C68" s="56">
        <v>180</v>
      </c>
      <c r="D68" s="66" t="s">
        <v>202</v>
      </c>
      <c r="E68" s="140">
        <v>1500</v>
      </c>
      <c r="F68" s="124">
        <f>SUM(F69:F70)</f>
        <v>0</v>
      </c>
      <c r="G68" s="57">
        <f t="shared" ref="G68:N68" si="21">SUM(G69:G70)</f>
        <v>0</v>
      </c>
      <c r="H68" s="121">
        <f t="shared" si="21"/>
        <v>0</v>
      </c>
      <c r="I68" s="72">
        <f t="shared" si="21"/>
        <v>0</v>
      </c>
      <c r="J68" s="57">
        <f t="shared" si="21"/>
        <v>0</v>
      </c>
      <c r="K68" s="57">
        <f t="shared" si="21"/>
        <v>0</v>
      </c>
      <c r="L68" s="57">
        <f t="shared" si="21"/>
        <v>0</v>
      </c>
      <c r="M68" s="57">
        <f t="shared" si="21"/>
        <v>0</v>
      </c>
      <c r="N68" s="57">
        <f t="shared" si="21"/>
        <v>0</v>
      </c>
      <c r="O68" s="40"/>
      <c r="P68" s="40"/>
      <c r="Q68" s="39"/>
    </row>
    <row r="69" spans="1:17" ht="12" customHeight="1" x14ac:dyDescent="0.3">
      <c r="A69" s="103"/>
      <c r="B69" s="55"/>
      <c r="C69" s="56">
        <v>180</v>
      </c>
      <c r="D69" s="66"/>
      <c r="E69" s="226"/>
      <c r="F69" s="124">
        <f t="shared" ref="F69:H76" si="22">I69+L69</f>
        <v>0</v>
      </c>
      <c r="G69" s="57">
        <f t="shared" si="22"/>
        <v>0</v>
      </c>
      <c r="H69" s="121">
        <f t="shared" si="22"/>
        <v>0</v>
      </c>
      <c r="I69" s="70"/>
      <c r="J69" s="59"/>
      <c r="K69" s="59"/>
      <c r="L69" s="59"/>
      <c r="M69" s="59"/>
      <c r="N69" s="59"/>
      <c r="O69" s="40"/>
      <c r="P69" s="40"/>
      <c r="Q69" s="39"/>
    </row>
    <row r="70" spans="1:17" ht="12" customHeight="1" x14ac:dyDescent="0.3">
      <c r="A70" s="58"/>
      <c r="B70" s="55"/>
      <c r="C70" s="56">
        <v>180</v>
      </c>
      <c r="D70" s="66"/>
      <c r="E70" s="226"/>
      <c r="F70" s="124">
        <f t="shared" si="22"/>
        <v>0</v>
      </c>
      <c r="G70" s="57">
        <f t="shared" si="22"/>
        <v>0</v>
      </c>
      <c r="H70" s="125">
        <f t="shared" si="22"/>
        <v>0</v>
      </c>
      <c r="I70" s="70"/>
      <c r="J70" s="59"/>
      <c r="K70" s="59"/>
      <c r="L70" s="59"/>
      <c r="M70" s="59"/>
      <c r="N70" s="59"/>
      <c r="O70" s="40"/>
      <c r="P70" s="40"/>
      <c r="Q70" s="39"/>
    </row>
    <row r="71" spans="1:17" ht="12" customHeight="1" x14ac:dyDescent="0.3">
      <c r="A71" s="62" t="s">
        <v>316</v>
      </c>
      <c r="B71" s="55" t="s">
        <v>202</v>
      </c>
      <c r="C71" s="61">
        <v>400</v>
      </c>
      <c r="D71" s="66" t="s">
        <v>202</v>
      </c>
      <c r="E71" s="140">
        <v>1900</v>
      </c>
      <c r="F71" s="124">
        <f>SUM(F72:F74)</f>
        <v>0</v>
      </c>
      <c r="G71" s="57">
        <f t="shared" ref="G71:N71" si="23">SUM(G72:G74)</f>
        <v>0</v>
      </c>
      <c r="H71" s="72">
        <f t="shared" si="23"/>
        <v>0</v>
      </c>
      <c r="I71" s="124">
        <f t="shared" si="23"/>
        <v>0</v>
      </c>
      <c r="J71" s="57">
        <f t="shared" si="23"/>
        <v>0</v>
      </c>
      <c r="K71" s="57">
        <f t="shared" si="23"/>
        <v>0</v>
      </c>
      <c r="L71" s="57">
        <f t="shared" si="23"/>
        <v>0</v>
      </c>
      <c r="M71" s="57">
        <f t="shared" si="23"/>
        <v>0</v>
      </c>
      <c r="N71" s="57">
        <f t="shared" si="23"/>
        <v>0</v>
      </c>
      <c r="O71" s="40"/>
      <c r="P71" s="40"/>
      <c r="Q71" s="39"/>
    </row>
    <row r="72" spans="1:17" ht="12" customHeight="1" x14ac:dyDescent="0.3">
      <c r="A72" s="58" t="str">
        <f t="array" ref="A72">IFERROR(INDEX(КБК!E4:E420,SMALL(IF((($D$72=КБК!F4:F420)*($C$72=КБК!G4:G420)*(NOT(ISERR(SEARCH($O$1,КБК!D4:D420))))),ROW(КБК!E4:E420)-КБК!A4+1,""),ROW()-$O$72+1)),"")</f>
        <v/>
      </c>
      <c r="B72" s="55" t="str">
        <f t="array" ref="B72">IFERROR(INDEX(КБК!H4:H420,SMALL(IF((($D$72=КБК!F4:F420)*($C$72=КБК!G4:G420)*(NOT(ISERR(SEARCH($O$1,КБК!D4:D420))))),ROW(КБК!E4:E420)-КБК!A4+1,""),ROW()-$O$72+1)),"")</f>
        <v/>
      </c>
      <c r="C72" s="61">
        <v>410</v>
      </c>
      <c r="D72" s="66">
        <v>410</v>
      </c>
      <c r="E72" s="140"/>
      <c r="F72" s="124">
        <f t="shared" si="22"/>
        <v>0</v>
      </c>
      <c r="G72" s="57">
        <f t="shared" ref="G72:G77" si="24">J72+M72</f>
        <v>0</v>
      </c>
      <c r="H72" s="121">
        <f t="shared" ref="H72:H77" si="25">K72+N72</f>
        <v>0</v>
      </c>
      <c r="I72" s="70"/>
      <c r="J72" s="70"/>
      <c r="K72" s="70"/>
      <c r="L72" s="70"/>
      <c r="M72" s="70"/>
      <c r="N72" s="59"/>
      <c r="O72" s="40">
        <f>ROW()</f>
        <v>72</v>
      </c>
      <c r="P72" s="40"/>
      <c r="Q72" s="39"/>
    </row>
    <row r="73" spans="1:17" ht="12" customHeight="1" x14ac:dyDescent="0.3">
      <c r="A73" s="58" t="str">
        <f t="array" ref="A73">IFERROR(INDEX(КБК!E4:E420,SMALL(IF((($D$73=КБК!F4:F420)*($C$73=КБК!G4:G420)*(NOT(ISERR(SEARCH($O$1,КБК!D4:D420))))),ROW(КБК!E4:E420)-КБК!A4+1,""),ROW()-$O$73+1)),"")</f>
        <v/>
      </c>
      <c r="B73" s="55" t="str">
        <f t="array" ref="B73">IFERROR(INDEX(КБК!H4:H420,SMALL(IF((($D$73=КБК!F4:F420)*($C$73=КБК!G4:G420)*(NOT(ISERR(SEARCH($O$1,КБК!D4:D420))))),ROW(КБК!E4:E420)-КБК!A4+1,""),ROW()-$O$73+1)),"")</f>
        <v/>
      </c>
      <c r="C73" s="61">
        <v>440</v>
      </c>
      <c r="D73" s="66">
        <v>443</v>
      </c>
      <c r="E73" s="140"/>
      <c r="F73" s="124">
        <f t="shared" si="22"/>
        <v>0</v>
      </c>
      <c r="G73" s="57">
        <f t="shared" si="24"/>
        <v>0</v>
      </c>
      <c r="H73" s="121">
        <f t="shared" si="25"/>
        <v>0</v>
      </c>
      <c r="I73" s="70"/>
      <c r="J73" s="70"/>
      <c r="K73" s="70"/>
      <c r="L73" s="70"/>
      <c r="M73" s="70"/>
      <c r="N73" s="59"/>
      <c r="O73" s="40">
        <f>ROW()</f>
        <v>73</v>
      </c>
      <c r="P73" s="40"/>
      <c r="Q73" s="39"/>
    </row>
    <row r="74" spans="1:17" ht="12" customHeight="1" x14ac:dyDescent="0.3">
      <c r="A74" s="63"/>
      <c r="B74" s="55"/>
      <c r="C74" s="61"/>
      <c r="D74" s="66"/>
      <c r="E74" s="140"/>
      <c r="F74" s="124">
        <f t="shared" si="22"/>
        <v>0</v>
      </c>
      <c r="G74" s="57">
        <f t="shared" si="24"/>
        <v>0</v>
      </c>
      <c r="H74" s="121">
        <f t="shared" si="25"/>
        <v>0</v>
      </c>
      <c r="I74" s="70"/>
      <c r="J74" s="70"/>
      <c r="K74" s="70"/>
      <c r="L74" s="70"/>
      <c r="M74" s="70"/>
      <c r="N74" s="59"/>
      <c r="O74" s="40"/>
      <c r="P74" s="40"/>
      <c r="Q74" s="39"/>
    </row>
    <row r="75" spans="1:17" ht="12" customHeight="1" x14ac:dyDescent="0.3">
      <c r="A75" s="62" t="s">
        <v>679</v>
      </c>
      <c r="B75" s="55" t="s">
        <v>202</v>
      </c>
      <c r="C75" s="61" t="s">
        <v>202</v>
      </c>
      <c r="D75" s="66" t="s">
        <v>202</v>
      </c>
      <c r="E75" s="140">
        <v>1980</v>
      </c>
      <c r="F75" s="124">
        <f t="shared" si="22"/>
        <v>0</v>
      </c>
      <c r="G75" s="57">
        <f t="shared" si="24"/>
        <v>0</v>
      </c>
      <c r="H75" s="121">
        <f t="shared" si="25"/>
        <v>0</v>
      </c>
      <c r="I75" s="70"/>
      <c r="J75" s="70"/>
      <c r="K75" s="70"/>
      <c r="L75" s="70"/>
      <c r="M75" s="70"/>
      <c r="N75" s="59"/>
      <c r="O75" s="40"/>
      <c r="P75" s="40"/>
      <c r="Q75" s="39"/>
    </row>
    <row r="76" spans="1:17" ht="12" customHeight="1" x14ac:dyDescent="0.3">
      <c r="A76" s="162" t="s">
        <v>560</v>
      </c>
      <c r="B76" s="55" t="s">
        <v>202</v>
      </c>
      <c r="C76" s="56">
        <v>510</v>
      </c>
      <c r="D76" s="66">
        <v>510</v>
      </c>
      <c r="E76" s="140">
        <v>1981</v>
      </c>
      <c r="F76" s="124">
        <f t="shared" si="22"/>
        <v>0</v>
      </c>
      <c r="G76" s="57">
        <f t="shared" si="24"/>
        <v>0</v>
      </c>
      <c r="H76" s="121">
        <f t="shared" si="25"/>
        <v>0</v>
      </c>
      <c r="I76" s="70"/>
      <c r="J76" s="70"/>
      <c r="K76" s="70"/>
      <c r="L76" s="70"/>
      <c r="M76" s="70"/>
      <c r="N76" s="59"/>
      <c r="O76" s="40">
        <f>ROW()</f>
        <v>76</v>
      </c>
      <c r="P76" s="40"/>
      <c r="Q76" s="39"/>
    </row>
    <row r="77" spans="1:17" ht="12" customHeight="1" x14ac:dyDescent="0.3">
      <c r="A77" s="163" t="str">
        <f t="array" ref="A77:A83">IFERROR(INDEX(КБК!E885:E887,SMALL(IF((($D$76=КБК!F885:F887)*($C$76=КБК!G885:G887)*(NOT(ISERR(SEARCH($O$1,КБК!D885:D887))))),ROW(КБК!E885:E887)-КБК!A885+1,""),ROW()-$O$76)),"")</f>
        <v>спорт 1130387590.510.0</v>
      </c>
      <c r="B77" s="55" t="str">
        <f t="array" ref="B77:B83">IFERROR(INDEX(КБК!H885:H887,SMALL(IF((($D$76=КБК!F885:F887)*($C$76=КБК!G885:G887)*(NOT(ISERR(SEARCH($O$1,КБК!D885:D887))))),ROW(КБК!E885:E887)-КБК!A885+1,""),ROW()-$O$76)),"")</f>
        <v>1102</v>
      </c>
      <c r="C77" s="56">
        <v>510</v>
      </c>
      <c r="D77" s="66">
        <v>510</v>
      </c>
      <c r="E77" s="226"/>
      <c r="F77" s="124">
        <f>I77+L77</f>
        <v>0</v>
      </c>
      <c r="G77" s="57">
        <f t="shared" si="24"/>
        <v>0</v>
      </c>
      <c r="H77" s="121">
        <f t="shared" si="25"/>
        <v>0</v>
      </c>
      <c r="I77" s="70"/>
      <c r="J77" s="70"/>
      <c r="K77" s="70"/>
      <c r="L77" s="70"/>
      <c r="M77" s="70"/>
      <c r="N77" s="59"/>
      <c r="O77" s="40"/>
      <c r="P77" s="40"/>
      <c r="Q77" s="39"/>
    </row>
    <row r="78" spans="1:17" ht="12" customHeight="1" x14ac:dyDescent="0.3">
      <c r="A78" s="163" t="str">
        <v/>
      </c>
      <c r="B78" s="55" t="str">
        <v/>
      </c>
      <c r="C78" s="56">
        <v>510</v>
      </c>
      <c r="D78" s="66">
        <v>510</v>
      </c>
      <c r="E78" s="226"/>
      <c r="F78" s="124">
        <f t="shared" ref="F78:F83" si="26">I78+L78</f>
        <v>0</v>
      </c>
      <c r="G78" s="57">
        <f t="shared" ref="G78:H83" si="27">J78+M78</f>
        <v>0</v>
      </c>
      <c r="H78" s="121">
        <f t="shared" si="27"/>
        <v>0</v>
      </c>
      <c r="I78" s="70"/>
      <c r="J78" s="70"/>
      <c r="K78" s="70"/>
      <c r="L78" s="70"/>
      <c r="M78" s="70"/>
      <c r="N78" s="59"/>
      <c r="O78" s="40"/>
      <c r="P78" s="40"/>
      <c r="Q78" s="39"/>
    </row>
    <row r="79" spans="1:17" ht="12" customHeight="1" x14ac:dyDescent="0.3">
      <c r="A79" s="163" t="str">
        <v/>
      </c>
      <c r="B79" s="55" t="str">
        <v/>
      </c>
      <c r="C79" s="56">
        <v>510</v>
      </c>
      <c r="D79" s="66">
        <v>510</v>
      </c>
      <c r="E79" s="226"/>
      <c r="F79" s="124">
        <f t="shared" si="26"/>
        <v>0</v>
      </c>
      <c r="G79" s="57">
        <f t="shared" si="27"/>
        <v>0</v>
      </c>
      <c r="H79" s="121">
        <f t="shared" si="27"/>
        <v>0</v>
      </c>
      <c r="I79" s="70"/>
      <c r="J79" s="70"/>
      <c r="K79" s="70"/>
      <c r="L79" s="70"/>
      <c r="M79" s="70"/>
      <c r="N79" s="59"/>
      <c r="O79" s="40"/>
      <c r="P79" s="40"/>
      <c r="Q79" s="39"/>
    </row>
    <row r="80" spans="1:17" ht="12" customHeight="1" x14ac:dyDescent="0.3">
      <c r="A80" s="163" t="str">
        <v/>
      </c>
      <c r="B80" s="55" t="str">
        <v/>
      </c>
      <c r="C80" s="56">
        <v>510</v>
      </c>
      <c r="D80" s="66">
        <v>510</v>
      </c>
      <c r="E80" s="226"/>
      <c r="F80" s="124">
        <f t="shared" si="26"/>
        <v>0</v>
      </c>
      <c r="G80" s="57">
        <f t="shared" si="27"/>
        <v>0</v>
      </c>
      <c r="H80" s="121">
        <f t="shared" si="27"/>
        <v>0</v>
      </c>
      <c r="I80" s="70"/>
      <c r="J80" s="70"/>
      <c r="K80" s="70"/>
      <c r="L80" s="70"/>
      <c r="M80" s="70"/>
      <c r="N80" s="59"/>
      <c r="O80" s="40"/>
      <c r="P80" s="40"/>
      <c r="Q80" s="39"/>
    </row>
    <row r="81" spans="1:17" ht="12" customHeight="1" x14ac:dyDescent="0.3">
      <c r="A81" s="163" t="str">
        <v/>
      </c>
      <c r="B81" s="55" t="str">
        <v/>
      </c>
      <c r="C81" s="56">
        <v>510</v>
      </c>
      <c r="D81" s="66">
        <v>510</v>
      </c>
      <c r="E81" s="226"/>
      <c r="F81" s="124">
        <f t="shared" si="26"/>
        <v>0</v>
      </c>
      <c r="G81" s="57">
        <f t="shared" si="27"/>
        <v>0</v>
      </c>
      <c r="H81" s="121">
        <f t="shared" si="27"/>
        <v>0</v>
      </c>
      <c r="I81" s="70"/>
      <c r="J81" s="70"/>
      <c r="K81" s="70"/>
      <c r="L81" s="70"/>
      <c r="M81" s="70"/>
      <c r="N81" s="59"/>
      <c r="O81" s="40"/>
      <c r="P81" s="40"/>
      <c r="Q81" s="39"/>
    </row>
    <row r="82" spans="1:17" ht="12" customHeight="1" x14ac:dyDescent="0.3">
      <c r="A82" s="163" t="str">
        <v/>
      </c>
      <c r="B82" s="55" t="str">
        <v/>
      </c>
      <c r="C82" s="56">
        <v>510</v>
      </c>
      <c r="D82" s="66">
        <v>510</v>
      </c>
      <c r="E82" s="226"/>
      <c r="F82" s="124">
        <f t="shared" si="26"/>
        <v>0</v>
      </c>
      <c r="G82" s="57">
        <f t="shared" si="27"/>
        <v>0</v>
      </c>
      <c r="H82" s="121">
        <f t="shared" si="27"/>
        <v>0</v>
      </c>
      <c r="I82" s="70"/>
      <c r="J82" s="70"/>
      <c r="K82" s="70"/>
      <c r="L82" s="70"/>
      <c r="M82" s="70"/>
      <c r="N82" s="59"/>
      <c r="O82" s="40"/>
      <c r="P82" s="40"/>
      <c r="Q82" s="39"/>
    </row>
    <row r="83" spans="1:17" ht="12" customHeight="1" thickBot="1" x14ac:dyDescent="0.35">
      <c r="A83" s="164" t="str">
        <v/>
      </c>
      <c r="B83" s="105" t="str">
        <v/>
      </c>
      <c r="C83" s="106">
        <v>510</v>
      </c>
      <c r="D83" s="107">
        <v>510</v>
      </c>
      <c r="E83" s="308"/>
      <c r="F83" s="124">
        <f t="shared" si="26"/>
        <v>0</v>
      </c>
      <c r="G83" s="148">
        <f t="shared" si="27"/>
        <v>0</v>
      </c>
      <c r="H83" s="149">
        <f t="shared" si="27"/>
        <v>0</v>
      </c>
      <c r="I83" s="70"/>
      <c r="J83" s="70"/>
      <c r="K83" s="70"/>
      <c r="L83" s="70"/>
      <c r="M83" s="70"/>
      <c r="N83" s="306"/>
      <c r="O83" s="40"/>
      <c r="P83" s="40"/>
      <c r="Q83" s="39"/>
    </row>
    <row r="84" spans="1:17" ht="12" customHeight="1" x14ac:dyDescent="0.3">
      <c r="A84" s="132" t="s">
        <v>288</v>
      </c>
      <c r="B84" s="127" t="s">
        <v>202</v>
      </c>
      <c r="C84" s="133" t="s">
        <v>202</v>
      </c>
      <c r="D84" s="134" t="s">
        <v>202</v>
      </c>
      <c r="E84" s="142">
        <v>2000</v>
      </c>
      <c r="F84" s="128">
        <f t="shared" ref="F84:N84" si="28">F85+F128+F166+F140+F174+F159+F330</f>
        <v>61240089.719999999</v>
      </c>
      <c r="G84" s="129">
        <f t="shared" si="28"/>
        <v>66443944.100000001</v>
      </c>
      <c r="H84" s="131">
        <f t="shared" si="28"/>
        <v>67730422.099999994</v>
      </c>
      <c r="I84" s="259">
        <f t="shared" si="28"/>
        <v>61240089.719999999</v>
      </c>
      <c r="J84" s="129">
        <f t="shared" si="28"/>
        <v>66443944.100000001</v>
      </c>
      <c r="K84" s="129">
        <f t="shared" si="28"/>
        <v>67730422.099999994</v>
      </c>
      <c r="L84" s="129">
        <f t="shared" si="28"/>
        <v>0</v>
      </c>
      <c r="M84" s="129">
        <f t="shared" si="28"/>
        <v>0</v>
      </c>
      <c r="N84" s="129">
        <f t="shared" si="28"/>
        <v>0</v>
      </c>
      <c r="O84" s="40"/>
      <c r="P84" s="40"/>
      <c r="Q84" s="39"/>
    </row>
    <row r="85" spans="1:17" ht="12" customHeight="1" x14ac:dyDescent="0.3">
      <c r="A85" s="60" t="s">
        <v>289</v>
      </c>
      <c r="B85" s="55" t="s">
        <v>202</v>
      </c>
      <c r="C85" s="56">
        <v>100</v>
      </c>
      <c r="D85" s="68" t="s">
        <v>202</v>
      </c>
      <c r="E85" s="144">
        <v>2100</v>
      </c>
      <c r="F85" s="120">
        <f>F86+F100+F109+F112</f>
        <v>34447744</v>
      </c>
      <c r="G85" s="57">
        <f t="shared" ref="G85:N85" si="29">G86+G100+G109+G112</f>
        <v>34447494</v>
      </c>
      <c r="H85" s="121">
        <f t="shared" si="29"/>
        <v>34447494</v>
      </c>
      <c r="I85" s="69">
        <f t="shared" si="29"/>
        <v>34447744</v>
      </c>
      <c r="J85" s="57">
        <f t="shared" si="29"/>
        <v>34447494</v>
      </c>
      <c r="K85" s="57">
        <f t="shared" si="29"/>
        <v>34447494</v>
      </c>
      <c r="L85" s="57">
        <f t="shared" si="29"/>
        <v>0</v>
      </c>
      <c r="M85" s="57">
        <f t="shared" si="29"/>
        <v>0</v>
      </c>
      <c r="N85" s="57">
        <f t="shared" si="29"/>
        <v>0</v>
      </c>
      <c r="O85" s="40"/>
      <c r="P85" s="40"/>
      <c r="Q85" s="39"/>
    </row>
    <row r="86" spans="1:17" ht="12" customHeight="1" x14ac:dyDescent="0.3">
      <c r="A86" s="62" t="s">
        <v>291</v>
      </c>
      <c r="B86" s="55" t="s">
        <v>202</v>
      </c>
      <c r="C86" s="56">
        <v>111</v>
      </c>
      <c r="D86" s="68">
        <v>211</v>
      </c>
      <c r="E86" s="144">
        <v>2110</v>
      </c>
      <c r="F86" s="124">
        <f>SUM(F87:F99)</f>
        <v>26423034</v>
      </c>
      <c r="G86" s="57">
        <f t="shared" ref="G86:N86" si="30">SUM(G87:G99)</f>
        <v>26423034</v>
      </c>
      <c r="H86" s="72">
        <f t="shared" si="30"/>
        <v>26423034</v>
      </c>
      <c r="I86" s="124">
        <f t="shared" si="30"/>
        <v>26423034</v>
      </c>
      <c r="J86" s="57">
        <f t="shared" si="30"/>
        <v>26423034</v>
      </c>
      <c r="K86" s="57">
        <f t="shared" si="30"/>
        <v>26423034</v>
      </c>
      <c r="L86" s="57">
        <f t="shared" si="30"/>
        <v>0</v>
      </c>
      <c r="M86" s="57">
        <f t="shared" si="30"/>
        <v>0</v>
      </c>
      <c r="N86" s="57">
        <f t="shared" si="30"/>
        <v>0</v>
      </c>
      <c r="O86" s="40">
        <f>ROW()</f>
        <v>86</v>
      </c>
      <c r="P86" s="40"/>
      <c r="Q86" s="39"/>
    </row>
    <row r="87" spans="1:17" ht="12" customHeight="1" x14ac:dyDescent="0.3">
      <c r="A87" s="58" t="str">
        <f t="array" ref="A87:A96">IFERROR(INDEX(КБК!E4:E1045,SMALL(IF((($D$86=КБК!F4:F1045)*($C$86=КБК!G4:G1045)*(NOT(ISERR(SEARCH($O$1,КБК!D4:D1045))))),ROW(КБК!E4:E1045)-3,""),ROW()-$O$86)),"")</f>
        <v>доходы 0000000131.111.0</v>
      </c>
      <c r="B87" s="55" t="str">
        <f t="array" ref="B87:B96">IFERROR(INDEX(КБК!H4:H1045,SMALL(IF((($D$86=КБК!F4:F1045)*($C$86=КБК!G4:G1045)*(NOT(ISERR(SEARCH($O$1,КБК!D4:D1045))))),ROW(КБК!E4:E1045)-3,""),ROW()-$O$86)),"")</f>
        <v>1102</v>
      </c>
      <c r="C87" s="56">
        <v>111</v>
      </c>
      <c r="D87" s="68">
        <v>211</v>
      </c>
      <c r="E87" s="144"/>
      <c r="F87" s="120">
        <f>I87+L87</f>
        <v>1260000</v>
      </c>
      <c r="G87" s="57">
        <f t="shared" ref="G87:H96" si="31">J87+M87</f>
        <v>1260000</v>
      </c>
      <c r="H87" s="121">
        <f t="shared" si="31"/>
        <v>1260000</v>
      </c>
      <c r="I87" s="70">
        <v>1260000</v>
      </c>
      <c r="J87" s="59">
        <v>1260000</v>
      </c>
      <c r="K87" s="59">
        <v>1260000</v>
      </c>
      <c r="L87" s="59"/>
      <c r="M87" s="59"/>
      <c r="N87" s="59"/>
      <c r="O87" s="40"/>
      <c r="P87" s="40"/>
      <c r="Q87" s="39"/>
    </row>
    <row r="88" spans="1:17" ht="12" customHeight="1" x14ac:dyDescent="0.3">
      <c r="A88" s="58" t="str">
        <v>учащийся 0120823590.111.0</v>
      </c>
      <c r="B88" s="55" t="str">
        <v>0703</v>
      </c>
      <c r="C88" s="56">
        <v>111</v>
      </c>
      <c r="D88" s="68">
        <v>211</v>
      </c>
      <c r="E88" s="144"/>
      <c r="F88" s="120">
        <f t="shared" ref="F88:F96" si="32">I88+L88</f>
        <v>557190</v>
      </c>
      <c r="G88" s="57">
        <f t="shared" si="31"/>
        <v>617283</v>
      </c>
      <c r="H88" s="121">
        <f t="shared" si="31"/>
        <v>644931</v>
      </c>
      <c r="I88" s="70">
        <v>557190</v>
      </c>
      <c r="J88" s="59">
        <v>617283</v>
      </c>
      <c r="K88" s="59">
        <v>644931</v>
      </c>
      <c r="L88" s="59"/>
      <c r="M88" s="59"/>
      <c r="N88" s="59"/>
      <c r="O88" s="40"/>
      <c r="P88" s="40"/>
      <c r="Q88" s="39"/>
    </row>
    <row r="89" spans="1:17" ht="12" customHeight="1" x14ac:dyDescent="0.3">
      <c r="A89" s="58" t="str">
        <v>спорт 1130387590.111.0</v>
      </c>
      <c r="B89" s="55" t="str">
        <v>0703</v>
      </c>
      <c r="C89" s="56">
        <v>111</v>
      </c>
      <c r="D89" s="68">
        <v>211</v>
      </c>
      <c r="E89" s="144"/>
      <c r="F89" s="120">
        <f t="shared" si="32"/>
        <v>5396490</v>
      </c>
      <c r="G89" s="57">
        <f t="shared" si="31"/>
        <v>5336397</v>
      </c>
      <c r="H89" s="121">
        <f t="shared" si="31"/>
        <v>5308749</v>
      </c>
      <c r="I89" s="70">
        <v>5396490</v>
      </c>
      <c r="J89" s="59">
        <v>5336397</v>
      </c>
      <c r="K89" s="59">
        <v>5308749</v>
      </c>
      <c r="L89" s="59"/>
      <c r="M89" s="59"/>
      <c r="N89" s="59"/>
      <c r="O89" s="40"/>
      <c r="P89" s="40"/>
      <c r="Q89" s="39"/>
    </row>
    <row r="90" spans="1:17" ht="12" customHeight="1" x14ac:dyDescent="0.3">
      <c r="A90" s="58" t="str">
        <v>спорт 1130387590.111.0</v>
      </c>
      <c r="B90" s="55" t="str">
        <v>1102</v>
      </c>
      <c r="C90" s="56">
        <v>111</v>
      </c>
      <c r="D90" s="68">
        <v>211</v>
      </c>
      <c r="E90" s="144"/>
      <c r="F90" s="120">
        <f t="shared" si="32"/>
        <v>19065870</v>
      </c>
      <c r="G90" s="57">
        <f t="shared" si="31"/>
        <v>19065870</v>
      </c>
      <c r="H90" s="121">
        <f t="shared" si="31"/>
        <v>19065870</v>
      </c>
      <c r="I90" s="70">
        <v>19065870</v>
      </c>
      <c r="J90" s="59">
        <v>19065870</v>
      </c>
      <c r="K90" s="59">
        <v>19065870</v>
      </c>
      <c r="L90" s="59"/>
      <c r="M90" s="59"/>
      <c r="N90" s="59"/>
      <c r="O90" s="40"/>
      <c r="P90" s="40"/>
      <c r="Q90" s="39"/>
    </row>
    <row r="91" spans="1:17" ht="12" customHeight="1" x14ac:dyDescent="0.3">
      <c r="A91" s="58" t="str">
        <v>спорт з/п 11303S2090.111.0</v>
      </c>
      <c r="B91" s="55" t="str">
        <v>1102</v>
      </c>
      <c r="C91" s="56">
        <v>111</v>
      </c>
      <c r="D91" s="68">
        <v>211</v>
      </c>
      <c r="E91" s="144"/>
      <c r="F91" s="120">
        <f t="shared" si="32"/>
        <v>0</v>
      </c>
      <c r="G91" s="57">
        <f t="shared" si="31"/>
        <v>0</v>
      </c>
      <c r="H91" s="121">
        <f t="shared" si="31"/>
        <v>0</v>
      </c>
      <c r="I91" s="70"/>
      <c r="J91" s="59"/>
      <c r="K91" s="59"/>
      <c r="L91" s="59"/>
      <c r="M91" s="59"/>
      <c r="N91" s="59"/>
      <c r="O91" s="40"/>
      <c r="P91" s="40"/>
      <c r="Q91" s="39"/>
    </row>
    <row r="92" spans="1:17" ht="12" customHeight="1" x14ac:dyDescent="0.3">
      <c r="A92" s="58" t="str">
        <v>мин.з/п 11303S2190.111.0</v>
      </c>
      <c r="B92" s="55" t="str">
        <v>1102</v>
      </c>
      <c r="C92" s="56">
        <v>111</v>
      </c>
      <c r="D92" s="68">
        <v>211</v>
      </c>
      <c r="E92" s="144"/>
      <c r="F92" s="120">
        <f t="shared" si="32"/>
        <v>0</v>
      </c>
      <c r="G92" s="57">
        <f t="shared" si="31"/>
        <v>0</v>
      </c>
      <c r="H92" s="121">
        <f t="shared" si="31"/>
        <v>0</v>
      </c>
      <c r="I92" s="70"/>
      <c r="J92" s="59"/>
      <c r="K92" s="59"/>
      <c r="L92" s="59"/>
      <c r="M92" s="59"/>
      <c r="N92" s="59"/>
      <c r="O92" s="40"/>
      <c r="P92" s="40"/>
      <c r="Q92" s="39"/>
    </row>
    <row r="93" spans="1:17" ht="12" customHeight="1" x14ac:dyDescent="0.3">
      <c r="A93" s="58" t="str">
        <v>полномочия 11303S2650.111.0</v>
      </c>
      <c r="B93" s="55" t="str">
        <v>1102</v>
      </c>
      <c r="C93" s="56">
        <v>111</v>
      </c>
      <c r="D93" s="68">
        <v>211</v>
      </c>
      <c r="E93" s="144"/>
      <c r="F93" s="120">
        <f t="shared" si="32"/>
        <v>0</v>
      </c>
      <c r="G93" s="57">
        <f t="shared" si="31"/>
        <v>0</v>
      </c>
      <c r="H93" s="121">
        <f t="shared" si="31"/>
        <v>0</v>
      </c>
      <c r="I93" s="70"/>
      <c r="J93" s="59"/>
      <c r="K93" s="59"/>
      <c r="L93" s="59"/>
      <c r="M93" s="59"/>
      <c r="N93" s="59"/>
      <c r="O93" s="40"/>
      <c r="P93" s="40"/>
      <c r="Q93" s="39"/>
    </row>
    <row r="94" spans="1:17" ht="12" customHeight="1" x14ac:dyDescent="0.3">
      <c r="A94" s="58" t="str">
        <v/>
      </c>
      <c r="B94" s="55" t="str">
        <v/>
      </c>
      <c r="C94" s="56">
        <v>111</v>
      </c>
      <c r="D94" s="68">
        <v>211</v>
      </c>
      <c r="E94" s="144"/>
      <c r="F94" s="120">
        <f t="shared" si="32"/>
        <v>0</v>
      </c>
      <c r="G94" s="57">
        <f t="shared" si="31"/>
        <v>0</v>
      </c>
      <c r="H94" s="121">
        <f t="shared" si="31"/>
        <v>0</v>
      </c>
      <c r="I94" s="70"/>
      <c r="J94" s="59"/>
      <c r="K94" s="59"/>
      <c r="L94" s="59"/>
      <c r="M94" s="59"/>
      <c r="N94" s="59"/>
      <c r="O94" s="40"/>
      <c r="P94" s="40"/>
      <c r="Q94" s="39"/>
    </row>
    <row r="95" spans="1:17" ht="12" customHeight="1" x14ac:dyDescent="0.3">
      <c r="A95" s="58" t="str">
        <v/>
      </c>
      <c r="B95" s="55" t="str">
        <v/>
      </c>
      <c r="C95" s="56">
        <v>111</v>
      </c>
      <c r="D95" s="68">
        <v>211</v>
      </c>
      <c r="E95" s="144"/>
      <c r="F95" s="120">
        <f t="shared" si="32"/>
        <v>0</v>
      </c>
      <c r="G95" s="57">
        <f t="shared" si="31"/>
        <v>0</v>
      </c>
      <c r="H95" s="121">
        <f t="shared" si="31"/>
        <v>0</v>
      </c>
      <c r="I95" s="70"/>
      <c r="J95" s="59"/>
      <c r="K95" s="59"/>
      <c r="L95" s="59"/>
      <c r="M95" s="59"/>
      <c r="N95" s="59"/>
      <c r="O95" s="40"/>
      <c r="P95" s="40"/>
      <c r="Q95" s="39"/>
    </row>
    <row r="96" spans="1:17" ht="12" customHeight="1" x14ac:dyDescent="0.3">
      <c r="A96" s="58" t="str">
        <v/>
      </c>
      <c r="B96" s="55" t="str">
        <v/>
      </c>
      <c r="C96" s="56">
        <v>111</v>
      </c>
      <c r="D96" s="68">
        <v>211</v>
      </c>
      <c r="E96" s="144"/>
      <c r="F96" s="120">
        <f t="shared" si="32"/>
        <v>0</v>
      </c>
      <c r="G96" s="57">
        <f t="shared" si="31"/>
        <v>0</v>
      </c>
      <c r="H96" s="121">
        <f t="shared" si="31"/>
        <v>0</v>
      </c>
      <c r="I96" s="70"/>
      <c r="J96" s="59"/>
      <c r="K96" s="59"/>
      <c r="L96" s="59"/>
      <c r="M96" s="59"/>
      <c r="N96" s="59"/>
      <c r="O96" s="40"/>
      <c r="P96" s="40"/>
      <c r="Q96" s="39"/>
    </row>
    <row r="97" spans="1:17" ht="12" customHeight="1" x14ac:dyDescent="0.3">
      <c r="A97" s="58" t="str">
        <f t="array" ref="A97:A99">IFERROR(INDEX(КБК!E4:E1045,SMALL(IF((($D$97=КБК!F4:F1045)*($C$97=КБК!G4:G1045)*(NOT(ISERR(SEARCH($O$1,КБК!D4:D1045))))),ROW(КБК!E4:E1045)-3,""),ROW()-$O$97+1)),"")</f>
        <v>доходы 0000000131.111.0</v>
      </c>
      <c r="B97" s="55" t="str">
        <f t="array" ref="B97:B99">IFERROR(INDEX(КБК!H4:H1045,SMALL(IF((($D$97=КБК!F4:F1045)*($C$97=КБК!G4:G1045)*(NOT(ISERR(SEARCH($O$1,КБК!D4:D1045))))),ROW(КБК!E4:E1045)-3,""),ROW()-$O$97+1)),"")</f>
        <v>1102</v>
      </c>
      <c r="C97" s="56">
        <v>111</v>
      </c>
      <c r="D97" s="68">
        <v>266</v>
      </c>
      <c r="E97" s="167"/>
      <c r="F97" s="120">
        <f t="shared" ref="F97:H99" si="33">I97+L97</f>
        <v>6000</v>
      </c>
      <c r="G97" s="57">
        <f t="shared" si="33"/>
        <v>6000</v>
      </c>
      <c r="H97" s="121">
        <f t="shared" si="33"/>
        <v>6000</v>
      </c>
      <c r="I97" s="70">
        <v>6000</v>
      </c>
      <c r="J97" s="59">
        <v>6000</v>
      </c>
      <c r="K97" s="59">
        <v>6000</v>
      </c>
      <c r="L97" s="59"/>
      <c r="M97" s="59"/>
      <c r="N97" s="59"/>
      <c r="O97" s="40">
        <f>ROW()</f>
        <v>97</v>
      </c>
      <c r="P97" s="40"/>
      <c r="Q97" s="39"/>
    </row>
    <row r="98" spans="1:17" ht="12" customHeight="1" x14ac:dyDescent="0.3">
      <c r="A98" s="58" t="str">
        <v>спорт 1130387590.111.0</v>
      </c>
      <c r="B98" s="55" t="str">
        <v>0703</v>
      </c>
      <c r="C98" s="56">
        <v>111</v>
      </c>
      <c r="D98" s="68">
        <v>266</v>
      </c>
      <c r="E98" s="167"/>
      <c r="F98" s="120">
        <f t="shared" si="33"/>
        <v>29934</v>
      </c>
      <c r="G98" s="57">
        <f t="shared" si="33"/>
        <v>29934</v>
      </c>
      <c r="H98" s="121">
        <f t="shared" si="33"/>
        <v>29934</v>
      </c>
      <c r="I98" s="70">
        <v>29934</v>
      </c>
      <c r="J98" s="59">
        <v>29934</v>
      </c>
      <c r="K98" s="59">
        <v>29934</v>
      </c>
      <c r="L98" s="59"/>
      <c r="M98" s="59"/>
      <c r="N98" s="59"/>
      <c r="O98" s="40"/>
      <c r="P98" s="40"/>
      <c r="Q98" s="39"/>
    </row>
    <row r="99" spans="1:17" ht="12" customHeight="1" x14ac:dyDescent="0.3">
      <c r="A99" s="58" t="str">
        <v>спорт 1130387590.111.0</v>
      </c>
      <c r="B99" s="55" t="str">
        <v>1102</v>
      </c>
      <c r="C99" s="56">
        <v>111</v>
      </c>
      <c r="D99" s="68">
        <v>266</v>
      </c>
      <c r="E99" s="167"/>
      <c r="F99" s="120">
        <f t="shared" si="33"/>
        <v>107550</v>
      </c>
      <c r="G99" s="57">
        <f t="shared" si="33"/>
        <v>107550</v>
      </c>
      <c r="H99" s="121">
        <f t="shared" si="33"/>
        <v>107550</v>
      </c>
      <c r="I99" s="70">
        <v>107550</v>
      </c>
      <c r="J99" s="59">
        <v>107550</v>
      </c>
      <c r="K99" s="59">
        <v>107550</v>
      </c>
      <c r="L99" s="59"/>
      <c r="M99" s="59"/>
      <c r="N99" s="59"/>
      <c r="O99" s="40"/>
      <c r="P99" s="40"/>
      <c r="Q99" s="39"/>
    </row>
    <row r="100" spans="1:17" ht="12" customHeight="1" x14ac:dyDescent="0.3">
      <c r="A100" s="60" t="s">
        <v>292</v>
      </c>
      <c r="B100" s="55" t="s">
        <v>202</v>
      </c>
      <c r="C100" s="56">
        <v>112</v>
      </c>
      <c r="D100" s="68">
        <v>212</v>
      </c>
      <c r="E100" s="144">
        <v>2120</v>
      </c>
      <c r="F100" s="124">
        <f t="shared" ref="F100:N100" si="34">SUM(F101:F108)</f>
        <v>95750</v>
      </c>
      <c r="G100" s="57">
        <f t="shared" si="34"/>
        <v>95500</v>
      </c>
      <c r="H100" s="69">
        <f t="shared" si="34"/>
        <v>95500</v>
      </c>
      <c r="I100" s="124">
        <f t="shared" si="34"/>
        <v>95750</v>
      </c>
      <c r="J100" s="57">
        <f t="shared" si="34"/>
        <v>95500</v>
      </c>
      <c r="K100" s="57">
        <f t="shared" si="34"/>
        <v>95500</v>
      </c>
      <c r="L100" s="57">
        <f t="shared" si="34"/>
        <v>0</v>
      </c>
      <c r="M100" s="57">
        <f t="shared" si="34"/>
        <v>0</v>
      </c>
      <c r="N100" s="69">
        <f t="shared" si="34"/>
        <v>0</v>
      </c>
      <c r="O100" s="40">
        <f>ROW()</f>
        <v>100</v>
      </c>
      <c r="P100" s="40"/>
      <c r="Q100" s="39"/>
    </row>
    <row r="101" spans="1:17" ht="12" customHeight="1" x14ac:dyDescent="0.3">
      <c r="A101" s="58" t="str">
        <f t="array" ref="A101:A103">IFERROR(INDEX(КБК!E4:E1045,SMALL(IF((($D$100=КБК!F4:F1045)*($C$100=КБК!G4:G1045)*(NOT(ISERR(SEARCH($O$1,КБК!D4:D1045))))),ROW(КБК!E4:E1045)-3,""),ROW()-$O$100)),"")</f>
        <v>доходы 0000000131.112.0</v>
      </c>
      <c r="B101" s="55" t="str">
        <f t="array" ref="B101:B103">IFERROR(INDEX(КБК!H4:H1045,SMALL(IF((($D$100=КБК!F4:F1045)*($C$100=КБК!G4:G1045)*(NOT(ISERR(SEARCH($O$1,КБК!D4:D1045))))),ROW(КБК!E4:E1045)-3,""),ROW()-$O$100)),"")</f>
        <v>1102</v>
      </c>
      <c r="C101" s="64">
        <v>112</v>
      </c>
      <c r="D101" s="68">
        <v>212</v>
      </c>
      <c r="E101" s="144"/>
      <c r="F101" s="120">
        <f t="shared" ref="F101:H103" si="35">I101+L101</f>
        <v>10000</v>
      </c>
      <c r="G101" s="57">
        <f t="shared" si="35"/>
        <v>10000</v>
      </c>
      <c r="H101" s="121">
        <f t="shared" si="35"/>
        <v>10000</v>
      </c>
      <c r="I101" s="70">
        <v>10000</v>
      </c>
      <c r="J101" s="59">
        <v>10000</v>
      </c>
      <c r="K101" s="59">
        <v>10000</v>
      </c>
      <c r="L101" s="59"/>
      <c r="M101" s="59"/>
      <c r="N101" s="59"/>
      <c r="O101" s="40"/>
      <c r="P101" s="40"/>
      <c r="Q101" s="39"/>
    </row>
    <row r="102" spans="1:17" ht="12" customHeight="1" x14ac:dyDescent="0.3">
      <c r="A102" s="58" t="str">
        <v>спорт 1130387590.112.0</v>
      </c>
      <c r="B102" s="55" t="str">
        <v>1102</v>
      </c>
      <c r="C102" s="64">
        <v>112</v>
      </c>
      <c r="D102" s="68">
        <v>212</v>
      </c>
      <c r="E102" s="144"/>
      <c r="F102" s="120">
        <f t="shared" si="35"/>
        <v>9000</v>
      </c>
      <c r="G102" s="57">
        <f t="shared" si="35"/>
        <v>9000</v>
      </c>
      <c r="H102" s="121">
        <f t="shared" si="35"/>
        <v>9000</v>
      </c>
      <c r="I102" s="70">
        <v>9000</v>
      </c>
      <c r="J102" s="59">
        <v>9000</v>
      </c>
      <c r="K102" s="59">
        <v>9000</v>
      </c>
      <c r="L102" s="59"/>
      <c r="M102" s="59"/>
      <c r="N102" s="59"/>
      <c r="O102" s="40"/>
      <c r="P102" s="40"/>
      <c r="Q102" s="39"/>
    </row>
    <row r="103" spans="1:17" ht="12" customHeight="1" x14ac:dyDescent="0.3">
      <c r="A103" s="58" t="str">
        <v/>
      </c>
      <c r="B103" s="55" t="str">
        <v/>
      </c>
      <c r="C103" s="64">
        <v>112</v>
      </c>
      <c r="D103" s="68">
        <v>212</v>
      </c>
      <c r="E103" s="144"/>
      <c r="F103" s="120">
        <f t="shared" si="35"/>
        <v>0</v>
      </c>
      <c r="G103" s="57">
        <f t="shared" si="35"/>
        <v>0</v>
      </c>
      <c r="H103" s="121">
        <f t="shared" si="35"/>
        <v>0</v>
      </c>
      <c r="I103" s="70"/>
      <c r="J103" s="59"/>
      <c r="K103" s="59"/>
      <c r="L103" s="59"/>
      <c r="M103" s="59"/>
      <c r="N103" s="59"/>
      <c r="O103" s="40"/>
      <c r="P103" s="40"/>
      <c r="Q103" s="39"/>
    </row>
    <row r="104" spans="1:17" ht="12" customHeight="1" x14ac:dyDescent="0.3">
      <c r="A104" s="58" t="str">
        <f t="array" ref="A104:A105">IFERROR(INDEX(КБК!E4:E1045,SMALL(IF((($D$104=КБК!F4:F1045)*($C$104=КБК!G4:G1045)*(NOT(ISERR(SEARCH($O$1,КБК!D4:D1045))))),ROW(КБК!E4:E1045)-3,""),ROW()-$O$104+1)),"")</f>
        <v>спорт 1130387590.112.0</v>
      </c>
      <c r="B104" s="55" t="str">
        <f t="array" ref="B104:B105">IFERROR(INDEX(КБК!H4:H1045,SMALL(IF((($D$104=КБК!F4:F1045)*($C$104=КБК!G4:G1045)*(NOT(ISERR(SEARCH($O$1,КБК!D4:D1045))))),ROW(КБК!E4:E1045)-3,""),ROW()-$O$104+1)),"")</f>
        <v>1102</v>
      </c>
      <c r="C104" s="56">
        <v>112</v>
      </c>
      <c r="D104" s="68">
        <v>226</v>
      </c>
      <c r="E104" s="167"/>
      <c r="F104" s="120">
        <f t="shared" ref="F104:H105" si="36">I104+L104</f>
        <v>76500</v>
      </c>
      <c r="G104" s="57">
        <f t="shared" si="36"/>
        <v>76500</v>
      </c>
      <c r="H104" s="121">
        <f t="shared" si="36"/>
        <v>76500</v>
      </c>
      <c r="I104" s="70">
        <v>76500</v>
      </c>
      <c r="J104" s="59">
        <v>76500</v>
      </c>
      <c r="K104" s="59">
        <v>76500</v>
      </c>
      <c r="L104" s="59"/>
      <c r="M104" s="59"/>
      <c r="N104" s="59"/>
      <c r="O104" s="40">
        <f>ROW()</f>
        <v>104</v>
      </c>
      <c r="P104" s="40"/>
      <c r="Q104" s="39"/>
    </row>
    <row r="105" spans="1:17" ht="12" customHeight="1" x14ac:dyDescent="0.3">
      <c r="A105" s="58" t="str">
        <v/>
      </c>
      <c r="B105" s="55" t="str">
        <v/>
      </c>
      <c r="C105" s="56">
        <v>112</v>
      </c>
      <c r="D105" s="68">
        <v>226</v>
      </c>
      <c r="E105" s="167"/>
      <c r="F105" s="120">
        <f t="shared" si="36"/>
        <v>0</v>
      </c>
      <c r="G105" s="57">
        <f t="shared" si="36"/>
        <v>0</v>
      </c>
      <c r="H105" s="121">
        <f t="shared" si="36"/>
        <v>0</v>
      </c>
      <c r="I105" s="70"/>
      <c r="J105" s="59"/>
      <c r="K105" s="59"/>
      <c r="L105" s="59"/>
      <c r="M105" s="59"/>
      <c r="N105" s="59"/>
      <c r="O105" s="40"/>
      <c r="P105" s="40"/>
      <c r="Q105" s="39"/>
    </row>
    <row r="106" spans="1:17" ht="12" customHeight="1" x14ac:dyDescent="0.3">
      <c r="A106" s="58" t="str">
        <f t="array" ref="A106:A107">IFERROR(INDEX(КБК!E4:E1045,SMALL(IF((($D$106=КБК!F4:F1045)*($C$106=КБК!G4:G1045)*(NOT(ISERR(SEARCH($O$1,КБК!D4:D1045))))),ROW(КБК!E4:E1045)-3,""),ROW()-$O$106+1)),"")</f>
        <v>доходы 0000000131.112.0</v>
      </c>
      <c r="B106" s="55" t="str">
        <f t="array" ref="B106:B107">IFERROR(INDEX(КБК!H4:H1045,SMALL(IF((($D$106=КБК!F4:F1045)*($C$106=КБК!G4:G1045)*(NOT(ISERR(SEARCH($O$1,КБК!D4:D1045))))),ROW(КБК!E4:E1045)-3,""),ROW()-$O$106+1)),"")</f>
        <v>1102</v>
      </c>
      <c r="C106" s="56">
        <v>112</v>
      </c>
      <c r="D106" s="68">
        <v>266</v>
      </c>
      <c r="E106" s="144"/>
      <c r="F106" s="120">
        <f t="shared" ref="F106:H108" si="37">I106+L106</f>
        <v>0</v>
      </c>
      <c r="G106" s="57">
        <f t="shared" si="37"/>
        <v>0</v>
      </c>
      <c r="H106" s="121">
        <f t="shared" si="37"/>
        <v>0</v>
      </c>
      <c r="I106" s="70"/>
      <c r="J106" s="59"/>
      <c r="K106" s="59"/>
      <c r="L106" s="59"/>
      <c r="M106" s="59"/>
      <c r="N106" s="59"/>
      <c r="O106" s="40">
        <f>ROW()</f>
        <v>106</v>
      </c>
      <c r="P106" s="40"/>
      <c r="Q106" s="39"/>
    </row>
    <row r="107" spans="1:17" ht="12" customHeight="1" x14ac:dyDescent="0.3">
      <c r="A107" s="58" t="str">
        <v>спорт 1130387590.112.0</v>
      </c>
      <c r="B107" s="55" t="str">
        <v>1102</v>
      </c>
      <c r="C107" s="56">
        <v>112</v>
      </c>
      <c r="D107" s="68">
        <v>266</v>
      </c>
      <c r="E107" s="144"/>
      <c r="F107" s="120">
        <f t="shared" si="37"/>
        <v>250</v>
      </c>
      <c r="G107" s="57">
        <f t="shared" si="37"/>
        <v>0</v>
      </c>
      <c r="H107" s="121">
        <f t="shared" si="37"/>
        <v>0</v>
      </c>
      <c r="I107" s="70">
        <v>250</v>
      </c>
      <c r="J107" s="59"/>
      <c r="K107" s="59"/>
      <c r="L107" s="59"/>
      <c r="M107" s="59"/>
      <c r="N107" s="59"/>
      <c r="O107" s="40"/>
      <c r="P107" s="40"/>
      <c r="Q107" s="39"/>
    </row>
    <row r="108" spans="1:17" ht="12" customHeight="1" x14ac:dyDescent="0.3">
      <c r="A108" s="58" t="str">
        <f t="array" ref="A108">IFERROR(INDEX(КБК!E4:E1045,SMALL(IF((($D$108=КБК!F4:F1045)*($C$108=КБК!G4:G1045)*(NOT(ISERR(SEARCH($O$1,КБК!D4:D1045))))),ROW(КБК!E4:E1045)-3,""),ROW()-$O$108+1)),"")</f>
        <v/>
      </c>
      <c r="B108" s="55" t="str">
        <f t="array" ref="B108">IFERROR(INDEX(КБК!H4:H1045,SMALL(IF((($D$108=КБК!F4:F1045)*($C$108=КБК!G4:G1045)*(NOT(ISERR(SEARCH($O$1,КБК!D4:D1045))))),ROW(КБК!E4:E1045)-3,""),ROW()-$O$108+1)),"")</f>
        <v/>
      </c>
      <c r="C108" s="56">
        <v>112</v>
      </c>
      <c r="D108" s="68">
        <v>267</v>
      </c>
      <c r="E108" s="167"/>
      <c r="F108" s="120">
        <f t="shared" si="37"/>
        <v>0</v>
      </c>
      <c r="G108" s="57">
        <f t="shared" si="37"/>
        <v>0</v>
      </c>
      <c r="H108" s="121">
        <f t="shared" si="37"/>
        <v>0</v>
      </c>
      <c r="I108" s="70"/>
      <c r="J108" s="59"/>
      <c r="K108" s="59"/>
      <c r="L108" s="59"/>
      <c r="M108" s="59"/>
      <c r="N108" s="59"/>
      <c r="O108" s="40">
        <f>ROW()</f>
        <v>108</v>
      </c>
      <c r="P108" s="40"/>
      <c r="Q108" s="39"/>
    </row>
    <row r="109" spans="1:17" ht="12" customHeight="1" x14ac:dyDescent="0.3">
      <c r="A109" s="62" t="s">
        <v>293</v>
      </c>
      <c r="B109" s="55" t="s">
        <v>202</v>
      </c>
      <c r="C109" s="56">
        <v>113</v>
      </c>
      <c r="D109" s="68">
        <v>226</v>
      </c>
      <c r="E109" s="144">
        <v>2130</v>
      </c>
      <c r="F109" s="120">
        <f>SUM(F110:F111)</f>
        <v>0</v>
      </c>
      <c r="G109" s="57">
        <f>SUM(G110:G111)</f>
        <v>0</v>
      </c>
      <c r="H109" s="121">
        <f>SUM(H110:H111)</f>
        <v>0</v>
      </c>
      <c r="I109" s="69">
        <f t="shared" ref="I109:N109" si="38">SUM(I110:I111)</f>
        <v>0</v>
      </c>
      <c r="J109" s="57">
        <f t="shared" si="38"/>
        <v>0</v>
      </c>
      <c r="K109" s="57">
        <f t="shared" si="38"/>
        <v>0</v>
      </c>
      <c r="L109" s="57">
        <f t="shared" si="38"/>
        <v>0</v>
      </c>
      <c r="M109" s="57">
        <f t="shared" si="38"/>
        <v>0</v>
      </c>
      <c r="N109" s="57">
        <f t="shared" si="38"/>
        <v>0</v>
      </c>
      <c r="O109" s="40">
        <f>ROW()</f>
        <v>109</v>
      </c>
      <c r="P109" s="40"/>
      <c r="Q109" s="39"/>
    </row>
    <row r="110" spans="1:17" ht="12" customHeight="1" x14ac:dyDescent="0.3">
      <c r="A110" s="58" t="str">
        <f t="array" ref="A110:A111">IFERROR(INDEX(КБК!E4:E1045,SMALL(IF((($D$109=КБК!F4:F1045)*($C$109=КБК!G4:G1045)*(NOT(ISERR(SEARCH($O$1,КБК!D4:D1045))))),ROW(КБК!E4:E1045)-3,""),ROW()-$O$109)),"")</f>
        <v>спорт 1130387590.113.0</v>
      </c>
      <c r="B110" s="55" t="str">
        <f t="array" ref="B110:B111">IFERROR(INDEX(КБК!H4:H1045,SMALL(IF((($D$109=КБК!F4:F1045)*($C$109=КБК!G4:G1045)*(NOT(ISERR(SEARCH($O$1,КБК!D4:D1045))))),ROW(КБК!E4:E1045)-3,""),ROW()-$O$109)),"")</f>
        <v>1102</v>
      </c>
      <c r="C110" s="56">
        <v>113</v>
      </c>
      <c r="D110" s="68">
        <v>226</v>
      </c>
      <c r="E110" s="144"/>
      <c r="F110" s="120">
        <f t="shared" ref="F110:H111" si="39">I110+L110</f>
        <v>0</v>
      </c>
      <c r="G110" s="57">
        <f t="shared" si="39"/>
        <v>0</v>
      </c>
      <c r="H110" s="121">
        <f t="shared" si="39"/>
        <v>0</v>
      </c>
      <c r="I110" s="70"/>
      <c r="J110" s="59"/>
      <c r="K110" s="59"/>
      <c r="L110" s="59"/>
      <c r="M110" s="59"/>
      <c r="N110" s="59"/>
      <c r="O110" s="40"/>
      <c r="P110" s="40"/>
      <c r="Q110" s="39"/>
    </row>
    <row r="111" spans="1:17" ht="12" customHeight="1" x14ac:dyDescent="0.3">
      <c r="A111" s="58" t="str">
        <v/>
      </c>
      <c r="B111" s="55" t="str">
        <v/>
      </c>
      <c r="C111" s="56">
        <v>113</v>
      </c>
      <c r="D111" s="68">
        <v>226</v>
      </c>
      <c r="E111" s="144"/>
      <c r="F111" s="120">
        <f t="shared" si="39"/>
        <v>0</v>
      </c>
      <c r="G111" s="57">
        <f t="shared" si="39"/>
        <v>0</v>
      </c>
      <c r="H111" s="121">
        <f t="shared" si="39"/>
        <v>0</v>
      </c>
      <c r="I111" s="70"/>
      <c r="J111" s="59"/>
      <c r="K111" s="59"/>
      <c r="L111" s="59"/>
      <c r="M111" s="59"/>
      <c r="N111" s="59"/>
      <c r="O111" s="40"/>
      <c r="P111" s="40"/>
      <c r="Q111" s="39"/>
    </row>
    <row r="112" spans="1:17" ht="12" customHeight="1" x14ac:dyDescent="0.3">
      <c r="A112" s="62" t="s">
        <v>305</v>
      </c>
      <c r="B112" s="55" t="s">
        <v>202</v>
      </c>
      <c r="C112" s="56">
        <v>119</v>
      </c>
      <c r="D112" s="68" t="s">
        <v>202</v>
      </c>
      <c r="E112" s="144">
        <v>2140</v>
      </c>
      <c r="F112" s="120">
        <f>F113+F124</f>
        <v>7928960</v>
      </c>
      <c r="G112" s="57">
        <f>G113+G124</f>
        <v>7928960</v>
      </c>
      <c r="H112" s="121">
        <f>H113+H124</f>
        <v>7928960</v>
      </c>
      <c r="I112" s="69">
        <f t="shared" ref="I112:N112" si="40">I113+I124</f>
        <v>7928960</v>
      </c>
      <c r="J112" s="57">
        <f t="shared" si="40"/>
        <v>7928960</v>
      </c>
      <c r="K112" s="57">
        <f t="shared" si="40"/>
        <v>7928960</v>
      </c>
      <c r="L112" s="57">
        <f t="shared" si="40"/>
        <v>0</v>
      </c>
      <c r="M112" s="57">
        <f t="shared" si="40"/>
        <v>0</v>
      </c>
      <c r="N112" s="57">
        <f t="shared" si="40"/>
        <v>0</v>
      </c>
      <c r="O112" s="40"/>
      <c r="P112" s="40"/>
      <c r="Q112" s="39"/>
    </row>
    <row r="113" spans="1:17" ht="12" customHeight="1" x14ac:dyDescent="0.3">
      <c r="A113" s="60" t="s">
        <v>291</v>
      </c>
      <c r="B113" s="55" t="s">
        <v>202</v>
      </c>
      <c r="C113" s="56">
        <v>119</v>
      </c>
      <c r="D113" s="68">
        <v>213</v>
      </c>
      <c r="E113" s="144">
        <v>2141</v>
      </c>
      <c r="F113" s="120">
        <f>SUM(F114:F123)</f>
        <v>7928960</v>
      </c>
      <c r="G113" s="57">
        <f>SUM(G114:G123)</f>
        <v>7928960</v>
      </c>
      <c r="H113" s="121">
        <f>SUM(H114:H123)</f>
        <v>7928960</v>
      </c>
      <c r="I113" s="69">
        <f t="shared" ref="I113:N113" si="41">SUM(I114:I123)</f>
        <v>7928960</v>
      </c>
      <c r="J113" s="57">
        <f t="shared" si="41"/>
        <v>7928960</v>
      </c>
      <c r="K113" s="57">
        <f t="shared" si="41"/>
        <v>7928960</v>
      </c>
      <c r="L113" s="57">
        <f t="shared" si="41"/>
        <v>0</v>
      </c>
      <c r="M113" s="57">
        <f t="shared" si="41"/>
        <v>0</v>
      </c>
      <c r="N113" s="57">
        <f t="shared" si="41"/>
        <v>0</v>
      </c>
      <c r="O113" s="39">
        <f>ROW()</f>
        <v>113</v>
      </c>
      <c r="P113" s="40"/>
      <c r="Q113" s="39"/>
    </row>
    <row r="114" spans="1:17" ht="12" customHeight="1" x14ac:dyDescent="0.3">
      <c r="A114" s="58" t="str">
        <f t="array" ref="A114:A123">IFERROR(INDEX(КБК!E4:E1045,SMALL(IF((($D$113=КБК!F4:F1045)*($C$113=КБК!G4:G1045)*(NOT(ISERR(SEARCH($O$1,КБК!D4:D1045))))),ROW(КБК!E4:E1045)-3,""),ROW()-$O$113)),"")</f>
        <v>доходы 0000000131.119.0</v>
      </c>
      <c r="B114" s="55" t="str">
        <f t="array" ref="B114:B123">IFERROR(INDEX(КБК!H4:H1045,SMALL(IF((($D$113=КБК!F4:F1045)*($C$113=КБК!G4:G1045)*(NOT(ISERR(SEARCH($O$1,КБК!D4:D1045))))),ROW(КБК!E4:E1045)-3,""),ROW()-$O$113)),"")</f>
        <v>1102</v>
      </c>
      <c r="C114" s="56">
        <v>119</v>
      </c>
      <c r="D114" s="68">
        <v>213</v>
      </c>
      <c r="E114" s="167"/>
      <c r="F114" s="120">
        <f>I114+L114</f>
        <v>373100</v>
      </c>
      <c r="G114" s="57">
        <f t="shared" ref="G114:H123" si="42">J114+M114</f>
        <v>373100</v>
      </c>
      <c r="H114" s="121">
        <f t="shared" si="42"/>
        <v>373100</v>
      </c>
      <c r="I114" s="70">
        <v>373100</v>
      </c>
      <c r="J114" s="59">
        <v>373100</v>
      </c>
      <c r="K114" s="59">
        <v>373100</v>
      </c>
      <c r="L114" s="59"/>
      <c r="M114" s="59"/>
      <c r="N114" s="59"/>
      <c r="O114" s="39"/>
      <c r="P114" s="40"/>
      <c r="Q114" s="39"/>
    </row>
    <row r="115" spans="1:17" ht="12" customHeight="1" x14ac:dyDescent="0.3">
      <c r="A115" s="58" t="str">
        <v>учащийся 0120823590.119.0</v>
      </c>
      <c r="B115" s="55" t="str">
        <v>0703</v>
      </c>
      <c r="C115" s="56">
        <v>119</v>
      </c>
      <c r="D115" s="68">
        <v>213</v>
      </c>
      <c r="E115" s="167"/>
      <c r="F115" s="120">
        <f t="shared" ref="F115:F123" si="43">I115+L115</f>
        <v>168267.6</v>
      </c>
      <c r="G115" s="57">
        <f t="shared" si="42"/>
        <v>186417</v>
      </c>
      <c r="H115" s="121">
        <f t="shared" si="42"/>
        <v>194769</v>
      </c>
      <c r="I115" s="70">
        <v>168267.6</v>
      </c>
      <c r="J115" s="59">
        <v>186417</v>
      </c>
      <c r="K115" s="59">
        <v>194769</v>
      </c>
      <c r="L115" s="59"/>
      <c r="M115" s="59"/>
      <c r="N115" s="59"/>
      <c r="O115" s="39"/>
      <c r="P115" s="40"/>
      <c r="Q115" s="39"/>
    </row>
    <row r="116" spans="1:17" ht="12" customHeight="1" x14ac:dyDescent="0.3">
      <c r="A116" s="58" t="str">
        <v>спорт 1130387590.119.0</v>
      </c>
      <c r="B116" s="55" t="str">
        <v>0703</v>
      </c>
      <c r="C116" s="56">
        <v>119</v>
      </c>
      <c r="D116" s="68">
        <v>213</v>
      </c>
      <c r="E116" s="167"/>
      <c r="F116" s="120">
        <f t="shared" si="43"/>
        <v>1629752.4</v>
      </c>
      <c r="G116" s="57">
        <f t="shared" si="42"/>
        <v>1611603</v>
      </c>
      <c r="H116" s="121">
        <f t="shared" si="42"/>
        <v>1603251</v>
      </c>
      <c r="I116" s="70">
        <v>1629752.4</v>
      </c>
      <c r="J116" s="59">
        <v>1611603</v>
      </c>
      <c r="K116" s="59">
        <v>1603251</v>
      </c>
      <c r="L116" s="59"/>
      <c r="M116" s="59"/>
      <c r="N116" s="59"/>
      <c r="O116" s="39"/>
      <c r="P116" s="40"/>
      <c r="Q116" s="39"/>
    </row>
    <row r="117" spans="1:17" ht="12" customHeight="1" x14ac:dyDescent="0.3">
      <c r="A117" s="58" t="str">
        <v>спорт 1130387590.119.0</v>
      </c>
      <c r="B117" s="55" t="str">
        <v>1102</v>
      </c>
      <c r="C117" s="56">
        <v>119</v>
      </c>
      <c r="D117" s="68">
        <v>213</v>
      </c>
      <c r="E117" s="167"/>
      <c r="F117" s="120">
        <f t="shared" si="43"/>
        <v>5757840</v>
      </c>
      <c r="G117" s="57">
        <f t="shared" si="42"/>
        <v>5757840</v>
      </c>
      <c r="H117" s="121">
        <f t="shared" si="42"/>
        <v>5757840</v>
      </c>
      <c r="I117" s="70">
        <v>5757840</v>
      </c>
      <c r="J117" s="59">
        <v>5757840</v>
      </c>
      <c r="K117" s="59">
        <v>5757840</v>
      </c>
      <c r="L117" s="59"/>
      <c r="M117" s="59"/>
      <c r="N117" s="59"/>
      <c r="O117" s="39"/>
      <c r="P117" s="40"/>
      <c r="Q117" s="39"/>
    </row>
    <row r="118" spans="1:17" ht="12" customHeight="1" x14ac:dyDescent="0.3">
      <c r="A118" s="58" t="str">
        <v>спорт з/п 11303S2090.119.0</v>
      </c>
      <c r="B118" s="55" t="str">
        <v>1102</v>
      </c>
      <c r="C118" s="56">
        <v>119</v>
      </c>
      <c r="D118" s="68">
        <v>213</v>
      </c>
      <c r="E118" s="167"/>
      <c r="F118" s="120">
        <f t="shared" si="43"/>
        <v>0</v>
      </c>
      <c r="G118" s="57">
        <f t="shared" si="42"/>
        <v>0</v>
      </c>
      <c r="H118" s="121">
        <f t="shared" si="42"/>
        <v>0</v>
      </c>
      <c r="I118" s="70"/>
      <c r="J118" s="59"/>
      <c r="K118" s="59"/>
      <c r="L118" s="59"/>
      <c r="M118" s="59"/>
      <c r="N118" s="59"/>
      <c r="O118" s="39"/>
      <c r="P118" s="40"/>
      <c r="Q118" s="39"/>
    </row>
    <row r="119" spans="1:17" ht="12" customHeight="1" x14ac:dyDescent="0.3">
      <c r="A119" s="58" t="str">
        <v>мин.з/п 11303S2190.119.0</v>
      </c>
      <c r="B119" s="55" t="str">
        <v>1102</v>
      </c>
      <c r="C119" s="56">
        <v>119</v>
      </c>
      <c r="D119" s="68">
        <v>213</v>
      </c>
      <c r="E119" s="167"/>
      <c r="F119" s="120">
        <f t="shared" si="43"/>
        <v>0</v>
      </c>
      <c r="G119" s="57">
        <f t="shared" si="42"/>
        <v>0</v>
      </c>
      <c r="H119" s="121">
        <f t="shared" si="42"/>
        <v>0</v>
      </c>
      <c r="I119" s="70"/>
      <c r="J119" s="59"/>
      <c r="K119" s="59"/>
      <c r="L119" s="59"/>
      <c r="M119" s="59"/>
      <c r="N119" s="59"/>
      <c r="O119" s="39"/>
      <c r="P119" s="40"/>
      <c r="Q119" s="39"/>
    </row>
    <row r="120" spans="1:17" ht="12" customHeight="1" x14ac:dyDescent="0.3">
      <c r="A120" s="58" t="str">
        <v>полномочия 11303S2650.119.0</v>
      </c>
      <c r="B120" s="55" t="str">
        <v>1102</v>
      </c>
      <c r="C120" s="56">
        <v>119</v>
      </c>
      <c r="D120" s="68">
        <v>213</v>
      </c>
      <c r="E120" s="167"/>
      <c r="F120" s="120">
        <f t="shared" si="43"/>
        <v>0</v>
      </c>
      <c r="G120" s="57">
        <f t="shared" si="42"/>
        <v>0</v>
      </c>
      <c r="H120" s="121">
        <f t="shared" si="42"/>
        <v>0</v>
      </c>
      <c r="I120" s="70"/>
      <c r="J120" s="59"/>
      <c r="K120" s="59"/>
      <c r="L120" s="59"/>
      <c r="M120" s="59"/>
      <c r="N120" s="59"/>
      <c r="O120" s="39"/>
      <c r="P120" s="40"/>
      <c r="Q120" s="39"/>
    </row>
    <row r="121" spans="1:17" ht="12" customHeight="1" x14ac:dyDescent="0.3">
      <c r="A121" s="58" t="str">
        <v/>
      </c>
      <c r="B121" s="55" t="str">
        <v/>
      </c>
      <c r="C121" s="56">
        <v>119</v>
      </c>
      <c r="D121" s="68">
        <v>213</v>
      </c>
      <c r="E121" s="167"/>
      <c r="F121" s="120">
        <f t="shared" si="43"/>
        <v>0</v>
      </c>
      <c r="G121" s="57">
        <f t="shared" si="42"/>
        <v>0</v>
      </c>
      <c r="H121" s="121">
        <f t="shared" si="42"/>
        <v>0</v>
      </c>
      <c r="I121" s="70"/>
      <c r="J121" s="59"/>
      <c r="K121" s="59"/>
      <c r="L121" s="59"/>
      <c r="M121" s="59"/>
      <c r="N121" s="59"/>
      <c r="O121" s="39"/>
      <c r="P121" s="40"/>
      <c r="Q121" s="39"/>
    </row>
    <row r="122" spans="1:17" ht="12" customHeight="1" x14ac:dyDescent="0.3">
      <c r="A122" s="58" t="str">
        <v/>
      </c>
      <c r="B122" s="55" t="str">
        <v/>
      </c>
      <c r="C122" s="56">
        <v>119</v>
      </c>
      <c r="D122" s="68">
        <v>213</v>
      </c>
      <c r="E122" s="167"/>
      <c r="F122" s="120">
        <f t="shared" si="43"/>
        <v>0</v>
      </c>
      <c r="G122" s="57">
        <f t="shared" si="42"/>
        <v>0</v>
      </c>
      <c r="H122" s="121">
        <f t="shared" si="42"/>
        <v>0</v>
      </c>
      <c r="I122" s="70"/>
      <c r="J122" s="59"/>
      <c r="K122" s="59"/>
      <c r="L122" s="59"/>
      <c r="M122" s="59"/>
      <c r="N122" s="59"/>
      <c r="O122" s="39"/>
      <c r="P122" s="40"/>
      <c r="Q122" s="39"/>
    </row>
    <row r="123" spans="1:17" ht="12" customHeight="1" x14ac:dyDescent="0.3">
      <c r="A123" s="58" t="str">
        <v/>
      </c>
      <c r="B123" s="55" t="str">
        <v/>
      </c>
      <c r="C123" s="56">
        <v>119</v>
      </c>
      <c r="D123" s="68">
        <v>213</v>
      </c>
      <c r="E123" s="167"/>
      <c r="F123" s="120">
        <f t="shared" si="43"/>
        <v>0</v>
      </c>
      <c r="G123" s="57">
        <f t="shared" si="42"/>
        <v>0</v>
      </c>
      <c r="H123" s="121">
        <f t="shared" si="42"/>
        <v>0</v>
      </c>
      <c r="I123" s="70"/>
      <c r="J123" s="59"/>
      <c r="K123" s="59"/>
      <c r="L123" s="59"/>
      <c r="M123" s="59"/>
      <c r="N123" s="59"/>
      <c r="O123" s="39"/>
      <c r="P123" s="40"/>
      <c r="Q123" s="39"/>
    </row>
    <row r="124" spans="1:17" ht="12" customHeight="1" x14ac:dyDescent="0.3">
      <c r="A124" s="62" t="s">
        <v>293</v>
      </c>
      <c r="B124" s="55" t="s">
        <v>202</v>
      </c>
      <c r="C124" s="56">
        <v>119</v>
      </c>
      <c r="D124" s="68" t="s">
        <v>202</v>
      </c>
      <c r="E124" s="144">
        <v>2142</v>
      </c>
      <c r="F124" s="120">
        <f>SUM(F125:F127)</f>
        <v>0</v>
      </c>
      <c r="G124" s="57">
        <f t="shared" ref="G124:N124" si="44">SUM(G125:G127)</f>
        <v>0</v>
      </c>
      <c r="H124" s="121">
        <f t="shared" si="44"/>
        <v>0</v>
      </c>
      <c r="I124" s="72">
        <f t="shared" si="44"/>
        <v>0</v>
      </c>
      <c r="J124" s="57">
        <f t="shared" si="44"/>
        <v>0</v>
      </c>
      <c r="K124" s="57">
        <f t="shared" si="44"/>
        <v>0</v>
      </c>
      <c r="L124" s="57">
        <f t="shared" si="44"/>
        <v>0</v>
      </c>
      <c r="M124" s="57">
        <f t="shared" si="44"/>
        <v>0</v>
      </c>
      <c r="N124" s="57">
        <f t="shared" si="44"/>
        <v>0</v>
      </c>
      <c r="P124" s="40"/>
      <c r="Q124" s="39"/>
    </row>
    <row r="125" spans="1:17" ht="12" customHeight="1" x14ac:dyDescent="0.3">
      <c r="A125" s="58" t="str">
        <f t="array" ref="A125">IFERROR(INDEX(КБК!E4:E1045,SMALL(IF((($D$125=КБК!F4:F1045)*($C$125=КБК!G4:G1045)*(NOT(ISERR(SEARCH($O$1,КБК!D4:D1045))))),ROW(КБК!E4:E1045)-3,""),ROW()-$O$125+1)),"")</f>
        <v/>
      </c>
      <c r="B125" s="55" t="str">
        <f t="array" ref="B125">IFERROR(INDEX(КБК!H4:H1045,SMALL(IF((($D$125=КБК!F4:F1045)*($C$125=КБК!G4:G1045)*(NOT(ISERR(SEARCH($O$1,КБК!D4:D1045))))),ROW(КБК!E4:E1045)-3,""),ROW()-$O$125+1)),"")</f>
        <v/>
      </c>
      <c r="C125" s="56">
        <v>119</v>
      </c>
      <c r="D125" s="68">
        <v>265</v>
      </c>
      <c r="E125" s="144"/>
      <c r="F125" s="120">
        <f>I125+L125</f>
        <v>0</v>
      </c>
      <c r="G125" s="57">
        <f t="shared" ref="G125:H127" si="45">J125+M125</f>
        <v>0</v>
      </c>
      <c r="H125" s="121">
        <f t="shared" si="45"/>
        <v>0</v>
      </c>
      <c r="I125" s="70"/>
      <c r="J125" s="59"/>
      <c r="K125" s="59"/>
      <c r="L125" s="59"/>
      <c r="M125" s="59"/>
      <c r="N125" s="59"/>
      <c r="O125" s="39">
        <f>ROW()</f>
        <v>125</v>
      </c>
      <c r="P125" s="40"/>
      <c r="Q125" s="39"/>
    </row>
    <row r="126" spans="1:17" ht="12" customHeight="1" x14ac:dyDescent="0.3">
      <c r="A126" s="58" t="str">
        <f t="array" ref="A126:A127">IFERROR(INDEX(КБК!E4:E1045,SMALL(IF((($D$124=КБК!F4:F1045)*($C$124=КБК!G4:G1045)*(NOT(ISERR(SEARCH($O$1,КБК!D4:D1045))))),ROW(КБК!E4:E1045)-3,""),ROW()-$O$125)),"")</f>
        <v/>
      </c>
      <c r="B126" s="55" t="str">
        <f t="array" ref="B126:B127">IFERROR(INDEX(КБК!H4:H1045,SMALL(IF((($D$124=КБК!F4:F1045)*($C$124=КБК!G4:G1045)*(NOT(ISERR(SEARCH($O$1,КБК!D4:D1045))))),ROW(КБК!E4:E1045)-3,""),ROW()-$O$125)),"")</f>
        <v/>
      </c>
      <c r="C126" s="56">
        <v>119</v>
      </c>
      <c r="D126" s="68">
        <v>266</v>
      </c>
      <c r="E126" s="289"/>
      <c r="F126" s="120">
        <f t="shared" ref="F126:F127" si="46">I126+L126</f>
        <v>0</v>
      </c>
      <c r="G126" s="57">
        <f t="shared" si="45"/>
        <v>0</v>
      </c>
      <c r="H126" s="121">
        <f t="shared" si="45"/>
        <v>0</v>
      </c>
      <c r="I126" s="70"/>
      <c r="J126" s="59"/>
      <c r="K126" s="59"/>
      <c r="L126" s="59"/>
      <c r="M126" s="59"/>
      <c r="N126" s="59"/>
      <c r="O126" s="39"/>
      <c r="P126" s="40"/>
      <c r="Q126" s="39"/>
    </row>
    <row r="127" spans="1:17" ht="12" customHeight="1" x14ac:dyDescent="0.3">
      <c r="A127" s="58" t="str">
        <v/>
      </c>
      <c r="B127" s="55" t="str">
        <v/>
      </c>
      <c r="C127" s="56">
        <v>119</v>
      </c>
      <c r="D127" s="68">
        <v>266</v>
      </c>
      <c r="E127" s="289"/>
      <c r="F127" s="120">
        <f t="shared" si="46"/>
        <v>0</v>
      </c>
      <c r="G127" s="57">
        <f t="shared" si="45"/>
        <v>0</v>
      </c>
      <c r="H127" s="121">
        <f t="shared" si="45"/>
        <v>0</v>
      </c>
      <c r="I127" s="70"/>
      <c r="J127" s="59"/>
      <c r="K127" s="59"/>
      <c r="L127" s="59"/>
      <c r="M127" s="59"/>
      <c r="N127" s="59"/>
      <c r="O127" s="39"/>
      <c r="P127" s="40"/>
      <c r="Q127" s="39"/>
    </row>
    <row r="128" spans="1:17" ht="12" customHeight="1" x14ac:dyDescent="0.3">
      <c r="A128" s="62" t="s">
        <v>294</v>
      </c>
      <c r="B128" s="55" t="s">
        <v>202</v>
      </c>
      <c r="C128" s="56">
        <v>300</v>
      </c>
      <c r="D128" s="68" t="s">
        <v>202</v>
      </c>
      <c r="E128" s="144">
        <v>2200</v>
      </c>
      <c r="F128" s="120">
        <f>F130+F134+F136+F138</f>
        <v>0</v>
      </c>
      <c r="G128" s="57">
        <f>G130+G134+G136+G138</f>
        <v>0</v>
      </c>
      <c r="H128" s="121">
        <f>H130+H134+H136+H138</f>
        <v>0</v>
      </c>
      <c r="I128" s="69">
        <f t="shared" ref="I128:N128" si="47">I130+I134+I136+I138</f>
        <v>0</v>
      </c>
      <c r="J128" s="57">
        <f t="shared" si="47"/>
        <v>0</v>
      </c>
      <c r="K128" s="57">
        <f t="shared" si="47"/>
        <v>0</v>
      </c>
      <c r="L128" s="57">
        <f t="shared" si="47"/>
        <v>0</v>
      </c>
      <c r="M128" s="57">
        <f t="shared" si="47"/>
        <v>0</v>
      </c>
      <c r="N128" s="57">
        <f t="shared" si="47"/>
        <v>0</v>
      </c>
      <c r="O128" s="39"/>
      <c r="P128" s="40"/>
      <c r="Q128" s="39"/>
    </row>
    <row r="129" spans="1:17" ht="12" customHeight="1" x14ac:dyDescent="0.3">
      <c r="A129" s="62" t="s">
        <v>680</v>
      </c>
      <c r="B129" s="55" t="s">
        <v>202</v>
      </c>
      <c r="C129" s="56">
        <v>320</v>
      </c>
      <c r="D129" s="68" t="s">
        <v>202</v>
      </c>
      <c r="E129" s="144">
        <v>2210</v>
      </c>
      <c r="F129" s="120">
        <f>F130</f>
        <v>0</v>
      </c>
      <c r="G129" s="57">
        <f t="shared" ref="G129:N129" si="48">G130</f>
        <v>0</v>
      </c>
      <c r="H129" s="121">
        <f t="shared" si="48"/>
        <v>0</v>
      </c>
      <c r="I129" s="72">
        <f t="shared" si="48"/>
        <v>0</v>
      </c>
      <c r="J129" s="57">
        <f t="shared" si="48"/>
        <v>0</v>
      </c>
      <c r="K129" s="57">
        <f t="shared" si="48"/>
        <v>0</v>
      </c>
      <c r="L129" s="57">
        <f t="shared" si="48"/>
        <v>0</v>
      </c>
      <c r="M129" s="57">
        <f t="shared" si="48"/>
        <v>0</v>
      </c>
      <c r="N129" s="57">
        <f t="shared" si="48"/>
        <v>0</v>
      </c>
      <c r="O129" s="39"/>
      <c r="P129" s="40"/>
      <c r="Q129" s="39"/>
    </row>
    <row r="130" spans="1:17" ht="12" customHeight="1" x14ac:dyDescent="0.3">
      <c r="A130" s="63" t="s">
        <v>680</v>
      </c>
      <c r="B130" s="55" t="s">
        <v>202</v>
      </c>
      <c r="C130" s="56">
        <v>321</v>
      </c>
      <c r="D130" s="68" t="s">
        <v>202</v>
      </c>
      <c r="E130" s="144">
        <v>2211</v>
      </c>
      <c r="F130" s="120">
        <f>SUM(F131:F133)</f>
        <v>0</v>
      </c>
      <c r="G130" s="57">
        <f>SUM(G131:G133)</f>
        <v>0</v>
      </c>
      <c r="H130" s="121">
        <f>SUM(H131:H133)</f>
        <v>0</v>
      </c>
      <c r="I130" s="69">
        <f t="shared" ref="I130:N130" si="49">SUM(I131:I133)</f>
        <v>0</v>
      </c>
      <c r="J130" s="57">
        <f t="shared" si="49"/>
        <v>0</v>
      </c>
      <c r="K130" s="57">
        <f t="shared" si="49"/>
        <v>0</v>
      </c>
      <c r="L130" s="57">
        <f t="shared" si="49"/>
        <v>0</v>
      </c>
      <c r="M130" s="57">
        <f t="shared" si="49"/>
        <v>0</v>
      </c>
      <c r="N130" s="57">
        <f t="shared" si="49"/>
        <v>0</v>
      </c>
      <c r="P130" s="40"/>
      <c r="Q130" s="39"/>
    </row>
    <row r="131" spans="1:17" ht="12" customHeight="1" x14ac:dyDescent="0.3">
      <c r="A131" s="58" t="str">
        <f t="array" ref="A131">IFERROR(INDEX(КБК!E4:E1045,SMALL(IF((($D$131=КБК!F4:F1045)*($C$131=КБК!G4:G1045)*(NOT(ISERR(SEARCH($O$1,КБК!D4:D1045))))),ROW(КБК!E4:E1045)-3,""),ROW()-$O$131+1)),"")</f>
        <v/>
      </c>
      <c r="B131" s="55" t="str">
        <f t="array" ref="B131">IFERROR(INDEX(КБК!H4:H1045,SMALL(IF((($D$131=КБК!F4:F1045)*($C$131=КБК!G4:G1045)*(NOT(ISERR(SEARCH($O$1,КБК!D4:D1045))))),ROW(КБК!E4:E1045)-3,""),ROW()-$O$131+1)),"")</f>
        <v/>
      </c>
      <c r="C131" s="56">
        <v>321</v>
      </c>
      <c r="D131" s="68">
        <v>264</v>
      </c>
      <c r="E131" s="167"/>
      <c r="F131" s="120">
        <f>I131+L131</f>
        <v>0</v>
      </c>
      <c r="G131" s="57">
        <f t="shared" ref="G131:H133" si="50">J131+M131</f>
        <v>0</v>
      </c>
      <c r="H131" s="121">
        <f t="shared" si="50"/>
        <v>0</v>
      </c>
      <c r="I131" s="70"/>
      <c r="J131" s="59"/>
      <c r="K131" s="59"/>
      <c r="L131" s="59"/>
      <c r="M131" s="59"/>
      <c r="N131" s="59"/>
      <c r="O131" s="39">
        <f>ROW()</f>
        <v>131</v>
      </c>
      <c r="P131" s="40"/>
      <c r="Q131" s="39"/>
    </row>
    <row r="132" spans="1:17" ht="12" customHeight="1" x14ac:dyDescent="0.3">
      <c r="A132" s="58"/>
      <c r="B132" s="55"/>
      <c r="C132" s="56">
        <v>321</v>
      </c>
      <c r="D132" s="68" t="s">
        <v>202</v>
      </c>
      <c r="E132" s="167"/>
      <c r="F132" s="120">
        <f>I132+L132</f>
        <v>0</v>
      </c>
      <c r="G132" s="57">
        <f t="shared" si="50"/>
        <v>0</v>
      </c>
      <c r="H132" s="121">
        <f t="shared" si="50"/>
        <v>0</v>
      </c>
      <c r="I132" s="70"/>
      <c r="J132" s="59"/>
      <c r="K132" s="59"/>
      <c r="L132" s="59"/>
      <c r="M132" s="59"/>
      <c r="N132" s="59"/>
      <c r="O132" s="76"/>
      <c r="P132" s="40"/>
      <c r="Q132" s="39"/>
    </row>
    <row r="133" spans="1:17" ht="12" customHeight="1" x14ac:dyDescent="0.3">
      <c r="A133" s="58"/>
      <c r="B133" s="55"/>
      <c r="C133" s="56">
        <v>321</v>
      </c>
      <c r="D133" s="68" t="s">
        <v>202</v>
      </c>
      <c r="E133" s="167"/>
      <c r="F133" s="120">
        <f>I133+L133</f>
        <v>0</v>
      </c>
      <c r="G133" s="57">
        <f t="shared" si="50"/>
        <v>0</v>
      </c>
      <c r="H133" s="121">
        <f t="shared" si="50"/>
        <v>0</v>
      </c>
      <c r="I133" s="70"/>
      <c r="J133" s="59"/>
      <c r="K133" s="59"/>
      <c r="L133" s="59"/>
      <c r="M133" s="59"/>
      <c r="N133" s="59"/>
      <c r="O133" s="76"/>
      <c r="P133" s="40"/>
      <c r="Q133" s="39"/>
    </row>
    <row r="134" spans="1:17" ht="12" customHeight="1" x14ac:dyDescent="0.3">
      <c r="A134" s="63" t="s">
        <v>306</v>
      </c>
      <c r="B134" s="55" t="s">
        <v>202</v>
      </c>
      <c r="C134" s="56">
        <v>340</v>
      </c>
      <c r="D134" s="68" t="s">
        <v>202</v>
      </c>
      <c r="E134" s="144">
        <v>2220</v>
      </c>
      <c r="F134" s="120">
        <f>SUM(F135)</f>
        <v>0</v>
      </c>
      <c r="G134" s="57">
        <f>SUM(G135)</f>
        <v>0</v>
      </c>
      <c r="H134" s="121">
        <f>SUM(H135)</f>
        <v>0</v>
      </c>
      <c r="I134" s="69">
        <f t="shared" ref="I134:N134" si="51">SUM(I135)</f>
        <v>0</v>
      </c>
      <c r="J134" s="57">
        <f t="shared" si="51"/>
        <v>0</v>
      </c>
      <c r="K134" s="57">
        <f t="shared" si="51"/>
        <v>0</v>
      </c>
      <c r="L134" s="57">
        <f t="shared" si="51"/>
        <v>0</v>
      </c>
      <c r="M134" s="57">
        <f t="shared" si="51"/>
        <v>0</v>
      </c>
      <c r="N134" s="57">
        <f t="shared" si="51"/>
        <v>0</v>
      </c>
      <c r="O134" s="39">
        <f>ROW()</f>
        <v>134</v>
      </c>
      <c r="P134" s="40"/>
      <c r="Q134" s="39"/>
    </row>
    <row r="135" spans="1:17" ht="12" customHeight="1" x14ac:dyDescent="0.3">
      <c r="A135" s="63"/>
      <c r="B135" s="55" t="s">
        <v>202</v>
      </c>
      <c r="C135" s="56">
        <v>340</v>
      </c>
      <c r="D135" s="68" t="s">
        <v>202</v>
      </c>
      <c r="E135" s="144"/>
      <c r="F135" s="120">
        <f>I135+L135</f>
        <v>0</v>
      </c>
      <c r="G135" s="57">
        <f>J135+M135</f>
        <v>0</v>
      </c>
      <c r="H135" s="121">
        <f>K135+N135</f>
        <v>0</v>
      </c>
      <c r="I135" s="70"/>
      <c r="J135" s="59"/>
      <c r="K135" s="59"/>
      <c r="L135" s="59"/>
      <c r="M135" s="59"/>
      <c r="N135" s="59"/>
      <c r="O135" s="76"/>
      <c r="P135" s="40"/>
      <c r="Q135" s="39"/>
    </row>
    <row r="136" spans="1:17" ht="12" customHeight="1" x14ac:dyDescent="0.3">
      <c r="A136" s="63" t="s">
        <v>307</v>
      </c>
      <c r="B136" s="55" t="s">
        <v>202</v>
      </c>
      <c r="C136" s="56">
        <v>350</v>
      </c>
      <c r="D136" s="68" t="s">
        <v>202</v>
      </c>
      <c r="E136" s="144">
        <v>2230</v>
      </c>
      <c r="F136" s="120">
        <f>SUM(F137)</f>
        <v>0</v>
      </c>
      <c r="G136" s="57">
        <f>SUM(G137)</f>
        <v>0</v>
      </c>
      <c r="H136" s="121">
        <f>SUM(H137)</f>
        <v>0</v>
      </c>
      <c r="I136" s="69">
        <f t="shared" ref="I136:N136" si="52">SUM(I137)</f>
        <v>0</v>
      </c>
      <c r="J136" s="57">
        <f t="shared" si="52"/>
        <v>0</v>
      </c>
      <c r="K136" s="57">
        <f t="shared" si="52"/>
        <v>0</v>
      </c>
      <c r="L136" s="57">
        <f t="shared" si="52"/>
        <v>0</v>
      </c>
      <c r="M136" s="57">
        <f t="shared" si="52"/>
        <v>0</v>
      </c>
      <c r="N136" s="57">
        <f t="shared" si="52"/>
        <v>0</v>
      </c>
      <c r="O136" s="39">
        <f>ROW()</f>
        <v>136</v>
      </c>
      <c r="P136" s="40"/>
      <c r="Q136" s="39"/>
    </row>
    <row r="137" spans="1:17" ht="12" customHeight="1" x14ac:dyDescent="0.3">
      <c r="A137" s="58" t="str">
        <f t="array" ref="A137">IFERROR(INDEX(КБК!E4:E1045,SMALL(IF((($D$137=КБК!F4:F1045)*($C$137=КБК!G4:G1045)*(NOT(ISERR(SEARCH($O$1,КБК!D4:D1045))))),ROW(КБК!E4:E1045)-3,""),ROW()-$O$136)),"")</f>
        <v/>
      </c>
      <c r="B137" s="55" t="str">
        <f t="array" ref="B137">IFERROR(INDEX(КБК!H4:H1045,SMALL(IF((($D$137=КБК!F4:F1045)*($C$137=КБК!G4:G1045)*(NOT(ISERR(SEARCH($O$1,КБК!D4:D1045))))),ROW(КБК!E4:E1045)-3,""),ROW()-$O$136)),"")</f>
        <v/>
      </c>
      <c r="C137" s="56">
        <v>350</v>
      </c>
      <c r="D137" s="68">
        <v>296</v>
      </c>
      <c r="E137" s="167"/>
      <c r="F137" s="120">
        <f>I137+L137</f>
        <v>0</v>
      </c>
      <c r="G137" s="57">
        <f>J137+M137</f>
        <v>0</v>
      </c>
      <c r="H137" s="121">
        <f>K137+N137</f>
        <v>0</v>
      </c>
      <c r="I137" s="70"/>
      <c r="J137" s="59"/>
      <c r="K137" s="59"/>
      <c r="L137" s="59"/>
      <c r="M137" s="59"/>
      <c r="N137" s="59"/>
      <c r="O137" s="39"/>
      <c r="P137" s="40"/>
      <c r="Q137" s="39"/>
    </row>
    <row r="138" spans="1:17" ht="12" customHeight="1" x14ac:dyDescent="0.3">
      <c r="A138" s="63" t="s">
        <v>308</v>
      </c>
      <c r="B138" s="55" t="s">
        <v>202</v>
      </c>
      <c r="C138" s="56">
        <v>360</v>
      </c>
      <c r="D138" s="68" t="s">
        <v>202</v>
      </c>
      <c r="E138" s="144">
        <v>2240</v>
      </c>
      <c r="F138" s="120">
        <f>SUM(F139)</f>
        <v>0</v>
      </c>
      <c r="G138" s="57">
        <f>SUM(G139)</f>
        <v>0</v>
      </c>
      <c r="H138" s="121">
        <f>SUM(H139)</f>
        <v>0</v>
      </c>
      <c r="I138" s="69">
        <f t="shared" ref="I138:N138" si="53">SUM(I139)</f>
        <v>0</v>
      </c>
      <c r="J138" s="57">
        <f t="shared" si="53"/>
        <v>0</v>
      </c>
      <c r="K138" s="57">
        <f t="shared" si="53"/>
        <v>0</v>
      </c>
      <c r="L138" s="57">
        <f t="shared" si="53"/>
        <v>0</v>
      </c>
      <c r="M138" s="57">
        <f t="shared" si="53"/>
        <v>0</v>
      </c>
      <c r="N138" s="57">
        <f t="shared" si="53"/>
        <v>0</v>
      </c>
      <c r="O138" s="39"/>
      <c r="P138" s="40"/>
      <c r="Q138" s="39"/>
    </row>
    <row r="139" spans="1:17" ht="12" customHeight="1" x14ac:dyDescent="0.3">
      <c r="A139" s="58" t="str">
        <f t="array" ref="A139">IFERROR(INDEX(КБК!E4:E1045,SMALL(IF((($D$139=КБК!F4:F1045)*($C$139=КБК!G4:G1045)*(NOT(ISERR(SEARCH($O$1,КБК!D4:D1045))))),ROW(КБК!E4:E1045)-3,""),ROW()-$O$131-4)),"")</f>
        <v/>
      </c>
      <c r="B139" s="55" t="str">
        <f t="array" ref="B139">IFERROR(INDEX(КБК!H4:H1045,SMALL(IF((($D$139=КБК!F4:F1045)*($C$139=КБК!G4:G1045)*(NOT(ISERR(SEARCH($O$1,КБК!D4:D1045))))),ROW(КБК!E4:E1045)-3,""),ROW()-$O$131-4)),"")</f>
        <v/>
      </c>
      <c r="C139" s="56">
        <v>360</v>
      </c>
      <c r="D139" s="68">
        <v>296</v>
      </c>
      <c r="E139" s="144"/>
      <c r="F139" s="120">
        <f>I139+L139</f>
        <v>0</v>
      </c>
      <c r="G139" s="57">
        <f>J139+M139</f>
        <v>0</v>
      </c>
      <c r="H139" s="121">
        <f>K139+N139</f>
        <v>0</v>
      </c>
      <c r="I139" s="70"/>
      <c r="J139" s="59"/>
      <c r="K139" s="59"/>
      <c r="L139" s="59"/>
      <c r="M139" s="59"/>
      <c r="N139" s="59"/>
      <c r="O139" s="39"/>
      <c r="P139" s="40"/>
      <c r="Q139" s="39"/>
    </row>
    <row r="140" spans="1:17" ht="12" customHeight="1" x14ac:dyDescent="0.3">
      <c r="A140" s="62" t="s">
        <v>296</v>
      </c>
      <c r="B140" s="55" t="s">
        <v>202</v>
      </c>
      <c r="C140" s="56">
        <v>850</v>
      </c>
      <c r="D140" s="68" t="s">
        <v>202</v>
      </c>
      <c r="E140" s="144">
        <v>2300</v>
      </c>
      <c r="F140" s="120">
        <f>F141+F145+F149</f>
        <v>7250</v>
      </c>
      <c r="G140" s="57">
        <f>G141+G145+G149</f>
        <v>7250</v>
      </c>
      <c r="H140" s="121">
        <f>H141+H145+H149</f>
        <v>7250</v>
      </c>
      <c r="I140" s="69">
        <f t="shared" ref="I140:N140" si="54">I141+I145+I149</f>
        <v>7250</v>
      </c>
      <c r="J140" s="57">
        <f t="shared" si="54"/>
        <v>7250</v>
      </c>
      <c r="K140" s="57">
        <f t="shared" si="54"/>
        <v>7250</v>
      </c>
      <c r="L140" s="57">
        <f t="shared" si="54"/>
        <v>0</v>
      </c>
      <c r="M140" s="57">
        <f t="shared" si="54"/>
        <v>0</v>
      </c>
      <c r="N140" s="57">
        <f t="shared" si="54"/>
        <v>0</v>
      </c>
      <c r="O140" s="39"/>
      <c r="P140" s="40"/>
      <c r="Q140" s="39"/>
    </row>
    <row r="141" spans="1:17" ht="12" customHeight="1" x14ac:dyDescent="0.3">
      <c r="A141" s="60" t="s">
        <v>297</v>
      </c>
      <c r="B141" s="55" t="s">
        <v>202</v>
      </c>
      <c r="C141" s="56">
        <v>851</v>
      </c>
      <c r="D141" s="68">
        <v>291</v>
      </c>
      <c r="E141" s="144">
        <v>2310</v>
      </c>
      <c r="F141" s="120">
        <f>SUM(F142:F144)</f>
        <v>0</v>
      </c>
      <c r="G141" s="57">
        <f>SUM(G142:G144)</f>
        <v>0</v>
      </c>
      <c r="H141" s="121">
        <f>SUM(H142:H144)</f>
        <v>0</v>
      </c>
      <c r="I141" s="69">
        <f t="shared" ref="I141:N141" si="55">SUM(I142:I144)</f>
        <v>0</v>
      </c>
      <c r="J141" s="57">
        <f t="shared" si="55"/>
        <v>0</v>
      </c>
      <c r="K141" s="57">
        <f t="shared" si="55"/>
        <v>0</v>
      </c>
      <c r="L141" s="57">
        <f t="shared" si="55"/>
        <v>0</v>
      </c>
      <c r="M141" s="57">
        <f t="shared" si="55"/>
        <v>0</v>
      </c>
      <c r="N141" s="57">
        <f t="shared" si="55"/>
        <v>0</v>
      </c>
      <c r="O141" s="39">
        <f>ROW()</f>
        <v>141</v>
      </c>
      <c r="P141" s="40"/>
      <c r="Q141" s="39"/>
    </row>
    <row r="142" spans="1:17" ht="12" customHeight="1" x14ac:dyDescent="0.3">
      <c r="A142" s="58" t="str">
        <f t="array" ref="A142:A144">IFERROR(INDEX(КБК!E4:E1045,SMALL(IF((($D$141=КБК!F4:F1045)*($C$141=КБК!G4:G1045)*(NOT(ISERR(SEARCH($O$1,КБК!D4:D1045))))),ROW(КБК!E4:E1045)-3,""),ROW()-$O$141)),"")</f>
        <v>спорт 1130387590.851.0</v>
      </c>
      <c r="B142" s="55" t="str">
        <f t="array" ref="B142:B144">IFERROR(INDEX(КБК!H4:H1045,SMALL(IF((($D$141=КБК!F4:F1045)*($C$141=КБК!G4:G1045)*(NOT(ISERR(SEARCH($O$1,КБК!D4:D1045))))),ROW(КБК!E4:E1045)-3,""),ROW()-$O$141)),"")</f>
        <v>1102</v>
      </c>
      <c r="C142" s="56">
        <v>851</v>
      </c>
      <c r="D142" s="68">
        <v>291</v>
      </c>
      <c r="E142" s="167"/>
      <c r="F142" s="120">
        <f>I142+L142</f>
        <v>0</v>
      </c>
      <c r="G142" s="57">
        <f t="shared" ref="G142:H144" si="56">J142+M142</f>
        <v>0</v>
      </c>
      <c r="H142" s="121">
        <f t="shared" si="56"/>
        <v>0</v>
      </c>
      <c r="I142" s="70"/>
      <c r="J142" s="59"/>
      <c r="K142" s="59"/>
      <c r="L142" s="59"/>
      <c r="M142" s="59"/>
      <c r="N142" s="59"/>
      <c r="O142" s="39"/>
      <c r="P142" s="40"/>
      <c r="Q142" s="39"/>
    </row>
    <row r="143" spans="1:17" ht="12" customHeight="1" x14ac:dyDescent="0.3">
      <c r="A143" s="58" t="str">
        <v/>
      </c>
      <c r="B143" s="55" t="str">
        <v/>
      </c>
      <c r="C143" s="56">
        <v>851</v>
      </c>
      <c r="D143" s="68">
        <v>291</v>
      </c>
      <c r="E143" s="167"/>
      <c r="F143" s="120">
        <f>I143+L143</f>
        <v>0</v>
      </c>
      <c r="G143" s="57">
        <f t="shared" si="56"/>
        <v>0</v>
      </c>
      <c r="H143" s="121">
        <f t="shared" si="56"/>
        <v>0</v>
      </c>
      <c r="I143" s="70"/>
      <c r="J143" s="59"/>
      <c r="K143" s="59"/>
      <c r="L143" s="59"/>
      <c r="M143" s="59"/>
      <c r="N143" s="59"/>
      <c r="O143" s="39"/>
      <c r="P143" s="40"/>
      <c r="Q143" s="39"/>
    </row>
    <row r="144" spans="1:17" ht="12" customHeight="1" x14ac:dyDescent="0.3">
      <c r="A144" s="58" t="str">
        <v/>
      </c>
      <c r="B144" s="55" t="str">
        <v/>
      </c>
      <c r="C144" s="56">
        <v>851</v>
      </c>
      <c r="D144" s="68">
        <v>291</v>
      </c>
      <c r="E144" s="167"/>
      <c r="F144" s="120">
        <f>I144+L144</f>
        <v>0</v>
      </c>
      <c r="G144" s="57">
        <f t="shared" si="56"/>
        <v>0</v>
      </c>
      <c r="H144" s="121">
        <f t="shared" si="56"/>
        <v>0</v>
      </c>
      <c r="I144" s="70"/>
      <c r="J144" s="59"/>
      <c r="K144" s="59"/>
      <c r="L144" s="59"/>
      <c r="M144" s="59"/>
      <c r="N144" s="59"/>
      <c r="O144" s="39"/>
      <c r="P144" s="40"/>
      <c r="Q144" s="39"/>
    </row>
    <row r="145" spans="1:17" ht="12" customHeight="1" x14ac:dyDescent="0.3">
      <c r="A145" s="60" t="s">
        <v>710</v>
      </c>
      <c r="B145" s="55" t="s">
        <v>202</v>
      </c>
      <c r="C145" s="56">
        <v>852</v>
      </c>
      <c r="D145" s="68">
        <v>291</v>
      </c>
      <c r="E145" s="144">
        <v>2320</v>
      </c>
      <c r="F145" s="120">
        <f>SUM(F146:F148)</f>
        <v>6300</v>
      </c>
      <c r="G145" s="57">
        <f>SUM(G146:G148)</f>
        <v>6300</v>
      </c>
      <c r="H145" s="121">
        <f>SUM(H146:H148)</f>
        <v>6300</v>
      </c>
      <c r="I145" s="69">
        <f t="shared" ref="I145:N145" si="57">SUM(I146:I148)</f>
        <v>6300</v>
      </c>
      <c r="J145" s="57">
        <f t="shared" si="57"/>
        <v>6300</v>
      </c>
      <c r="K145" s="57">
        <f t="shared" si="57"/>
        <v>6300</v>
      </c>
      <c r="L145" s="57">
        <f t="shared" si="57"/>
        <v>0</v>
      </c>
      <c r="M145" s="57">
        <f t="shared" si="57"/>
        <v>0</v>
      </c>
      <c r="N145" s="57">
        <f t="shared" si="57"/>
        <v>0</v>
      </c>
      <c r="O145" s="39">
        <f>ROW()</f>
        <v>145</v>
      </c>
      <c r="P145" s="40"/>
      <c r="Q145" s="39"/>
    </row>
    <row r="146" spans="1:17" ht="12" customHeight="1" x14ac:dyDescent="0.3">
      <c r="A146" s="58" t="str">
        <f t="array" ref="A146:A148">IFERROR(INDEX(КБК!E4:E1045,SMALL(IF((($D$145=КБК!F4:F1045)*($C$145=КБК!G4:G1045)*(NOT(ISERR(SEARCH($O$1,КБК!D4:D1045))))),ROW(КБК!E4:E1045)-3,""),ROW()-$O$145)),"")</f>
        <v>доходы 0000000131.852.0</v>
      </c>
      <c r="B146" s="55" t="str">
        <f t="array" ref="B146:B148">IFERROR(INDEX(КБК!H4:H1045,SMALL(IF((($D$145=КБК!F4:F1045)*($C$145=КБК!G4:G1045)*(NOT(ISERR(SEARCH($O$1,КБК!D4:D1045))))),ROW(КБК!E4:E1045)-3,""),ROW()-$O$145)),"")</f>
        <v>1102</v>
      </c>
      <c r="C146" s="56">
        <v>852</v>
      </c>
      <c r="D146" s="68">
        <v>291</v>
      </c>
      <c r="E146" s="225"/>
      <c r="F146" s="120">
        <f t="shared" ref="F146:H148" si="58">I146+L146</f>
        <v>0</v>
      </c>
      <c r="G146" s="57">
        <f t="shared" si="58"/>
        <v>0</v>
      </c>
      <c r="H146" s="121">
        <f t="shared" si="58"/>
        <v>0</v>
      </c>
      <c r="I146" s="70"/>
      <c r="J146" s="59"/>
      <c r="K146" s="59"/>
      <c r="L146" s="59"/>
      <c r="M146" s="59"/>
      <c r="N146" s="59"/>
      <c r="O146" s="39"/>
      <c r="P146" s="40"/>
      <c r="Q146" s="39"/>
    </row>
    <row r="147" spans="1:17" ht="12" customHeight="1" x14ac:dyDescent="0.3">
      <c r="A147" s="58" t="str">
        <v>спорт 1130387590.852.0</v>
      </c>
      <c r="B147" s="55" t="str">
        <v>1102</v>
      </c>
      <c r="C147" s="56">
        <v>852</v>
      </c>
      <c r="D147" s="68">
        <v>291</v>
      </c>
      <c r="E147" s="225"/>
      <c r="F147" s="120">
        <f t="shared" si="58"/>
        <v>6300</v>
      </c>
      <c r="G147" s="57">
        <f t="shared" si="58"/>
        <v>6300</v>
      </c>
      <c r="H147" s="121">
        <f t="shared" si="58"/>
        <v>6300</v>
      </c>
      <c r="I147" s="70">
        <v>6300</v>
      </c>
      <c r="J147" s="59">
        <v>6300</v>
      </c>
      <c r="K147" s="59">
        <v>6300</v>
      </c>
      <c r="L147" s="59"/>
      <c r="M147" s="59"/>
      <c r="N147" s="59"/>
      <c r="O147" s="39"/>
      <c r="P147" s="40"/>
      <c r="Q147" s="39"/>
    </row>
    <row r="148" spans="1:17" ht="12" customHeight="1" x14ac:dyDescent="0.3">
      <c r="A148" s="58" t="str">
        <v/>
      </c>
      <c r="B148" s="55" t="str">
        <v/>
      </c>
      <c r="C148" s="56">
        <v>852</v>
      </c>
      <c r="D148" s="68">
        <v>291</v>
      </c>
      <c r="E148" s="225"/>
      <c r="F148" s="120">
        <f t="shared" si="58"/>
        <v>0</v>
      </c>
      <c r="G148" s="57">
        <f t="shared" si="58"/>
        <v>0</v>
      </c>
      <c r="H148" s="121">
        <f t="shared" si="58"/>
        <v>0</v>
      </c>
      <c r="I148" s="70"/>
      <c r="J148" s="59"/>
      <c r="K148" s="59"/>
      <c r="L148" s="59"/>
      <c r="M148" s="59"/>
      <c r="N148" s="59"/>
      <c r="O148" s="39"/>
      <c r="P148" s="40"/>
      <c r="Q148" s="39"/>
    </row>
    <row r="149" spans="1:17" ht="12" customHeight="1" x14ac:dyDescent="0.3">
      <c r="A149" s="62" t="s">
        <v>711</v>
      </c>
      <c r="B149" s="55" t="s">
        <v>202</v>
      </c>
      <c r="C149" s="56">
        <v>853</v>
      </c>
      <c r="D149" s="68" t="s">
        <v>202</v>
      </c>
      <c r="E149" s="144">
        <v>2330</v>
      </c>
      <c r="F149" s="57">
        <f>SUM(F150:F158)</f>
        <v>950</v>
      </c>
      <c r="G149" s="57">
        <f>SUM(G150:G158)</f>
        <v>950</v>
      </c>
      <c r="H149" s="121">
        <f t="shared" ref="H149:N149" si="59">SUM(H150:H158)</f>
        <v>950</v>
      </c>
      <c r="I149" s="69">
        <f t="shared" si="59"/>
        <v>950</v>
      </c>
      <c r="J149" s="57">
        <f t="shared" si="59"/>
        <v>950</v>
      </c>
      <c r="K149" s="57">
        <f t="shared" si="59"/>
        <v>950</v>
      </c>
      <c r="L149" s="57">
        <f t="shared" si="59"/>
        <v>0</v>
      </c>
      <c r="M149" s="57">
        <f t="shared" si="59"/>
        <v>0</v>
      </c>
      <c r="N149" s="57">
        <f t="shared" si="59"/>
        <v>0</v>
      </c>
      <c r="O149" s="39"/>
      <c r="P149" s="40"/>
      <c r="Q149" s="39"/>
    </row>
    <row r="150" spans="1:17" ht="12" customHeight="1" x14ac:dyDescent="0.3">
      <c r="A150" s="58" t="str">
        <f t="array" ref="A150">IFERROR(INDEX(КБК!E4:E1045,SMALL(IF((($D$150=КБК!F4:F1045)*($C$150=КБК!G4:G1045)*(NOT(ISERR(SEARCH($O$1,КБК!D4:D1045))))),ROW(КБК!E4:E1045)-3,""),ROW()-$O$150+1)),"")</f>
        <v>спорт 1130387590.853.0</v>
      </c>
      <c r="B150" s="55" t="str">
        <f t="array" ref="B150">IFERROR(INDEX(КБК!H4:H1045,SMALL(IF((($D$150=КБК!F4:F1045)*($C$150=КБК!G4:G1045)*(NOT(ISERR(SEARCH($O$1,КБК!D4:D1045))))),ROW(КБК!E4:E1045)-3,""),ROW()-$O$150+1)),"")</f>
        <v>1102</v>
      </c>
      <c r="C150" s="56">
        <v>853</v>
      </c>
      <c r="D150" s="68">
        <v>291</v>
      </c>
      <c r="E150" s="167"/>
      <c r="F150" s="124">
        <f>I150+L150</f>
        <v>450</v>
      </c>
      <c r="G150" s="57">
        <f>J150+M150</f>
        <v>450</v>
      </c>
      <c r="H150" s="125">
        <f>K150+N150</f>
        <v>450</v>
      </c>
      <c r="I150" s="71">
        <v>450</v>
      </c>
      <c r="J150" s="59">
        <v>450</v>
      </c>
      <c r="K150" s="59">
        <v>450</v>
      </c>
      <c r="L150" s="59"/>
      <c r="M150" s="59"/>
      <c r="N150" s="59"/>
      <c r="O150" s="39">
        <f>ROW()</f>
        <v>150</v>
      </c>
      <c r="P150" s="40"/>
      <c r="Q150" s="39"/>
    </row>
    <row r="151" spans="1:17" ht="12" customHeight="1" x14ac:dyDescent="0.3">
      <c r="A151" s="58" t="str">
        <f t="array" ref="A151:A153">IFERROR(INDEX(КБК!E4:E1045,SMALL(IF((($D$151=КБК!F4:F1045)*($C$151=КБК!G4:G1045)*(NOT(ISERR(SEARCH($O$1,КБК!D4:D1045))))),ROW(КБК!E4:E1045)-3,""),ROW()-$O$151+1)),"")</f>
        <v>доходы 0000000131.853.0</v>
      </c>
      <c r="B151" s="55" t="str">
        <f t="array" ref="B151:B153">IFERROR(INDEX(КБК!H4:H1045,SMALL(IF((($D$151=КБК!F4:F1045)*($C$151=КБК!G4:G1045)*(NOT(ISERR(SEARCH($O$1,КБК!D4:D1045))))),ROW(КБК!E4:E1045)-3,""),ROW()-$O$151+1)),"")</f>
        <v>1102</v>
      </c>
      <c r="C151" s="56">
        <v>853</v>
      </c>
      <c r="D151" s="68">
        <v>292</v>
      </c>
      <c r="E151" s="144"/>
      <c r="F151" s="124">
        <f t="shared" ref="F151:H153" si="60">I151+L151</f>
        <v>500</v>
      </c>
      <c r="G151" s="57">
        <f t="shared" si="60"/>
        <v>500</v>
      </c>
      <c r="H151" s="125">
        <f t="shared" si="60"/>
        <v>500</v>
      </c>
      <c r="I151" s="71">
        <v>500</v>
      </c>
      <c r="J151" s="59">
        <v>500</v>
      </c>
      <c r="K151" s="59">
        <v>500</v>
      </c>
      <c r="L151" s="59"/>
      <c r="M151" s="59"/>
      <c r="N151" s="59"/>
      <c r="O151" s="39">
        <f>ROW()</f>
        <v>151</v>
      </c>
      <c r="P151" s="40"/>
      <c r="Q151" s="39"/>
    </row>
    <row r="152" spans="1:17" ht="12" customHeight="1" x14ac:dyDescent="0.3">
      <c r="A152" s="58" t="str">
        <v/>
      </c>
      <c r="B152" s="55" t="str">
        <v/>
      </c>
      <c r="C152" s="56">
        <v>853</v>
      </c>
      <c r="D152" s="68">
        <v>292</v>
      </c>
      <c r="E152" s="144"/>
      <c r="F152" s="124">
        <f t="shared" si="60"/>
        <v>0</v>
      </c>
      <c r="G152" s="57">
        <f t="shared" si="60"/>
        <v>0</v>
      </c>
      <c r="H152" s="125">
        <f t="shared" si="60"/>
        <v>0</v>
      </c>
      <c r="I152" s="71"/>
      <c r="J152" s="59"/>
      <c r="K152" s="59"/>
      <c r="L152" s="59"/>
      <c r="M152" s="59"/>
      <c r="N152" s="59"/>
      <c r="O152" s="39"/>
      <c r="P152" s="40"/>
      <c r="Q152" s="39"/>
    </row>
    <row r="153" spans="1:17" ht="12" customHeight="1" x14ac:dyDescent="0.3">
      <c r="A153" s="58" t="str">
        <v/>
      </c>
      <c r="B153" s="55" t="str">
        <v/>
      </c>
      <c r="C153" s="56">
        <v>853</v>
      </c>
      <c r="D153" s="68">
        <v>292</v>
      </c>
      <c r="E153" s="144"/>
      <c r="F153" s="124">
        <f t="shared" si="60"/>
        <v>0</v>
      </c>
      <c r="G153" s="57">
        <f t="shared" si="60"/>
        <v>0</v>
      </c>
      <c r="H153" s="125">
        <f t="shared" si="60"/>
        <v>0</v>
      </c>
      <c r="I153" s="71"/>
      <c r="J153" s="59"/>
      <c r="K153" s="59"/>
      <c r="L153" s="59"/>
      <c r="M153" s="59"/>
      <c r="N153" s="59"/>
      <c r="O153" s="39"/>
      <c r="P153" s="40"/>
      <c r="Q153" s="39"/>
    </row>
    <row r="154" spans="1:17" ht="12" customHeight="1" x14ac:dyDescent="0.3">
      <c r="A154" s="58" t="str">
        <f t="array" ref="A154:A155">IFERROR(INDEX(КБК!E4:E1045,SMALL(IF((($D$154=КБК!F4:F1045)*($C$154=КБК!G4:G1045)*(NOT(ISERR(SEARCH($O$1,КБК!D4:D1045))))),ROW(КБК!E4:E1045)-3,""),ROW()-$O$154+1)),"")</f>
        <v>спорт 1130387590.853.0</v>
      </c>
      <c r="B154" s="55" t="str">
        <f t="array" ref="B154:B155">IFERROR(INDEX(КБК!H4:H1045,SMALL(IF((($D$154=КБК!F4:F1045)*($C$154=КБК!G4:G1045)*(NOT(ISERR(SEARCH($O$1,КБК!D4:D1045))))),ROW(КБК!E4:E1045)-3,""),ROW()-$O$154+1)),"")</f>
        <v>1102</v>
      </c>
      <c r="C154" s="56">
        <v>853</v>
      </c>
      <c r="D154" s="68">
        <v>293</v>
      </c>
      <c r="E154" s="167"/>
      <c r="F154" s="124">
        <f t="shared" ref="F154:H155" si="61">I154+L154</f>
        <v>0</v>
      </c>
      <c r="G154" s="57">
        <f t="shared" si="61"/>
        <v>0</v>
      </c>
      <c r="H154" s="125">
        <f t="shared" si="61"/>
        <v>0</v>
      </c>
      <c r="I154" s="71"/>
      <c r="J154" s="59"/>
      <c r="K154" s="59"/>
      <c r="L154" s="59"/>
      <c r="M154" s="59"/>
      <c r="N154" s="59"/>
      <c r="O154" s="39">
        <f>ROW()</f>
        <v>154</v>
      </c>
      <c r="P154" s="40"/>
      <c r="Q154" s="39"/>
    </row>
    <row r="155" spans="1:17" ht="12" customHeight="1" x14ac:dyDescent="0.3">
      <c r="A155" s="58" t="str">
        <v/>
      </c>
      <c r="B155" s="55" t="str">
        <v/>
      </c>
      <c r="C155" s="56">
        <v>853</v>
      </c>
      <c r="D155" s="68">
        <v>293</v>
      </c>
      <c r="E155" s="167"/>
      <c r="F155" s="124">
        <f t="shared" si="61"/>
        <v>0</v>
      </c>
      <c r="G155" s="57">
        <f t="shared" si="61"/>
        <v>0</v>
      </c>
      <c r="H155" s="125">
        <f t="shared" si="61"/>
        <v>0</v>
      </c>
      <c r="I155" s="71"/>
      <c r="J155" s="59"/>
      <c r="K155" s="59"/>
      <c r="L155" s="59"/>
      <c r="M155" s="59"/>
      <c r="N155" s="59"/>
      <c r="O155" s="39"/>
      <c r="P155" s="40"/>
      <c r="Q155" s="39"/>
    </row>
    <row r="156" spans="1:17" ht="12" customHeight="1" x14ac:dyDescent="0.3">
      <c r="A156" s="58" t="str">
        <f t="array" ref="A156:A157">IFERROR(INDEX(КБК!E4:E1045,SMALL(IF((($D$156=КБК!F4:F1045)*($C$156=КБК!G4:G1045)*(NOT(ISERR(SEARCH($O$1,КБК!D4:D1045))))),ROW(КБК!E4:E1045)-3,""),ROW()-$O$156+1)),"")</f>
        <v/>
      </c>
      <c r="B156" s="55" t="str">
        <f t="array" ref="B156:B157">IFERROR(INDEX(КБК!H4:H1045,SMALL(IF((($D$156=КБК!F4:F1045)*($C$156=КБК!G4:G1045)*(NOT(ISERR(SEARCH($O$1,КБК!D4:D1045))))),ROW(КБК!E4:E1045)-3,""),ROW()-$O$156+1)),"")</f>
        <v/>
      </c>
      <c r="C156" s="56">
        <v>853</v>
      </c>
      <c r="D156" s="68">
        <v>295</v>
      </c>
      <c r="E156" s="144"/>
      <c r="F156" s="124">
        <f t="shared" ref="F156:H158" si="62">I156+L156</f>
        <v>0</v>
      </c>
      <c r="G156" s="57">
        <f t="shared" si="62"/>
        <v>0</v>
      </c>
      <c r="H156" s="125">
        <f t="shared" si="62"/>
        <v>0</v>
      </c>
      <c r="I156" s="71"/>
      <c r="J156" s="59"/>
      <c r="K156" s="59"/>
      <c r="L156" s="59"/>
      <c r="M156" s="59"/>
      <c r="N156" s="59"/>
      <c r="O156" s="39">
        <f>ROW()</f>
        <v>156</v>
      </c>
      <c r="P156" s="40"/>
      <c r="Q156" s="39"/>
    </row>
    <row r="157" spans="1:17" ht="12" customHeight="1" x14ac:dyDescent="0.3">
      <c r="A157" s="58" t="str">
        <v/>
      </c>
      <c r="B157" s="55" t="str">
        <v/>
      </c>
      <c r="C157" s="56">
        <v>853</v>
      </c>
      <c r="D157" s="68">
        <v>295</v>
      </c>
      <c r="E157" s="144"/>
      <c r="F157" s="124">
        <f t="shared" si="62"/>
        <v>0</v>
      </c>
      <c r="G157" s="57">
        <f t="shared" si="62"/>
        <v>0</v>
      </c>
      <c r="H157" s="125">
        <f t="shared" si="62"/>
        <v>0</v>
      </c>
      <c r="I157" s="71"/>
      <c r="J157" s="59"/>
      <c r="K157" s="59"/>
      <c r="L157" s="59"/>
      <c r="M157" s="59"/>
      <c r="N157" s="59"/>
      <c r="O157" s="39"/>
      <c r="P157" s="40"/>
      <c r="Q157" s="39"/>
    </row>
    <row r="158" spans="1:17" ht="12" customHeight="1" x14ac:dyDescent="0.3">
      <c r="A158" s="58" t="str">
        <f>IFERROR(INDEX(КБК!E4:E1045,SMALL(IF((($D$158=КБК!F4:F1045)*($C$158=КБК!G4:G1045)*(NOT(ISERR(SEARCH($O$1,КБК!D4:D1045))))),ROW(КБК!E4:E1045)-3,""),ROW()-$O$158+1)),"")</f>
        <v/>
      </c>
      <c r="B158" s="55" t="str">
        <f t="array" ref="B158">IFERROR(INDEX(КБК!H4:H1045,SMALL(IF((($D$158=КБК!F4:F1045)*($C$158=КБК!G4:G1045)*(NOT(ISERR(SEARCH($O$1,КБК!D4:D1045))))),ROW(КБК!E4:E1045)-3,""),ROW()-$O$158+1)),"")</f>
        <v/>
      </c>
      <c r="C158" s="56">
        <v>853</v>
      </c>
      <c r="D158" s="68">
        <v>296</v>
      </c>
      <c r="E158" s="167"/>
      <c r="F158" s="124">
        <f t="shared" si="62"/>
        <v>0</v>
      </c>
      <c r="G158" s="73">
        <f>J158+M158</f>
        <v>0</v>
      </c>
      <c r="H158" s="121">
        <f>K158+N158</f>
        <v>0</v>
      </c>
      <c r="I158" s="70"/>
      <c r="J158" s="74"/>
      <c r="K158" s="74"/>
      <c r="L158" s="74"/>
      <c r="M158" s="74"/>
      <c r="N158" s="59"/>
      <c r="O158" s="39">
        <f>ROW()</f>
        <v>158</v>
      </c>
      <c r="P158" s="40"/>
      <c r="Q158" s="39"/>
    </row>
    <row r="159" spans="1:17" ht="12" customHeight="1" x14ac:dyDescent="0.3">
      <c r="A159" s="62" t="s">
        <v>681</v>
      </c>
      <c r="B159" s="55" t="s">
        <v>202</v>
      </c>
      <c r="C159" s="56" t="s">
        <v>202</v>
      </c>
      <c r="D159" s="68" t="s">
        <v>202</v>
      </c>
      <c r="E159" s="144">
        <v>2400</v>
      </c>
      <c r="F159" s="124">
        <f>F160+F161+F162+F163+F164+F165</f>
        <v>0</v>
      </c>
      <c r="G159" s="57">
        <f t="shared" ref="G159:N159" si="63">G160+G161+G162+G163+G164+G165</f>
        <v>0</v>
      </c>
      <c r="H159" s="121">
        <f t="shared" si="63"/>
        <v>0</v>
      </c>
      <c r="I159" s="72">
        <f t="shared" si="63"/>
        <v>0</v>
      </c>
      <c r="J159" s="57">
        <f t="shared" si="63"/>
        <v>0</v>
      </c>
      <c r="K159" s="57">
        <f t="shared" si="63"/>
        <v>0</v>
      </c>
      <c r="L159" s="57">
        <f t="shared" si="63"/>
        <v>0</v>
      </c>
      <c r="M159" s="57">
        <f t="shared" si="63"/>
        <v>0</v>
      </c>
      <c r="N159" s="57">
        <f t="shared" si="63"/>
        <v>0</v>
      </c>
      <c r="O159" s="39"/>
      <c r="P159" s="40"/>
      <c r="Q159" s="39"/>
    </row>
    <row r="160" spans="1:17" ht="12" customHeight="1" x14ac:dyDescent="0.3">
      <c r="A160" s="62" t="s">
        <v>682</v>
      </c>
      <c r="B160" s="55" t="s">
        <v>202</v>
      </c>
      <c r="C160" s="56">
        <v>613</v>
      </c>
      <c r="D160" s="68" t="s">
        <v>202</v>
      </c>
      <c r="E160" s="144">
        <v>2410</v>
      </c>
      <c r="F160" s="124"/>
      <c r="G160" s="73"/>
      <c r="H160" s="121"/>
      <c r="I160" s="72"/>
      <c r="J160" s="73"/>
      <c r="K160" s="73"/>
      <c r="L160" s="73"/>
      <c r="M160" s="73"/>
      <c r="N160" s="57"/>
      <c r="O160" s="39"/>
      <c r="P160" s="40"/>
      <c r="Q160" s="39"/>
    </row>
    <row r="161" spans="1:17" ht="12" customHeight="1" x14ac:dyDescent="0.3">
      <c r="A161" s="145" t="s">
        <v>683</v>
      </c>
      <c r="B161" s="55" t="s">
        <v>202</v>
      </c>
      <c r="C161" s="56">
        <v>623</v>
      </c>
      <c r="D161" s="68" t="s">
        <v>202</v>
      </c>
      <c r="E161" s="144">
        <v>2420</v>
      </c>
      <c r="F161" s="124"/>
      <c r="G161" s="73"/>
      <c r="H161" s="121"/>
      <c r="I161" s="72"/>
      <c r="J161" s="73"/>
      <c r="K161" s="73"/>
      <c r="L161" s="73"/>
      <c r="M161" s="73"/>
      <c r="N161" s="57"/>
      <c r="O161" s="39"/>
      <c r="P161" s="40"/>
      <c r="Q161" s="39"/>
    </row>
    <row r="162" spans="1:17" ht="12" customHeight="1" x14ac:dyDescent="0.3">
      <c r="A162" s="145" t="s">
        <v>684</v>
      </c>
      <c r="B162" s="55" t="s">
        <v>202</v>
      </c>
      <c r="C162" s="56">
        <v>634</v>
      </c>
      <c r="D162" s="68" t="s">
        <v>202</v>
      </c>
      <c r="E162" s="144">
        <v>2430</v>
      </c>
      <c r="F162" s="124"/>
      <c r="G162" s="73"/>
      <c r="H162" s="121"/>
      <c r="I162" s="72"/>
      <c r="J162" s="73"/>
      <c r="K162" s="73"/>
      <c r="L162" s="73"/>
      <c r="M162" s="73"/>
      <c r="N162" s="57"/>
      <c r="O162" s="39"/>
      <c r="P162" s="40"/>
      <c r="Q162" s="39"/>
    </row>
    <row r="163" spans="1:17" ht="12" customHeight="1" x14ac:dyDescent="0.3">
      <c r="A163" s="145" t="s">
        <v>685</v>
      </c>
      <c r="B163" s="55" t="s">
        <v>202</v>
      </c>
      <c r="C163" s="56">
        <v>810</v>
      </c>
      <c r="D163" s="68" t="s">
        <v>202</v>
      </c>
      <c r="E163" s="144">
        <v>2440</v>
      </c>
      <c r="F163" s="124"/>
      <c r="G163" s="73"/>
      <c r="H163" s="121"/>
      <c r="I163" s="72"/>
      <c r="J163" s="73"/>
      <c r="K163" s="73"/>
      <c r="L163" s="73"/>
      <c r="M163" s="73"/>
      <c r="N163" s="57"/>
      <c r="O163" s="39"/>
      <c r="P163" s="40"/>
      <c r="Q163" s="39"/>
    </row>
    <row r="164" spans="1:17" ht="12" customHeight="1" x14ac:dyDescent="0.3">
      <c r="A164" s="145" t="s">
        <v>686</v>
      </c>
      <c r="B164" s="55" t="s">
        <v>202</v>
      </c>
      <c r="C164" s="56">
        <v>862</v>
      </c>
      <c r="D164" s="68" t="s">
        <v>202</v>
      </c>
      <c r="E164" s="144">
        <v>2450</v>
      </c>
      <c r="F164" s="124"/>
      <c r="G164" s="73"/>
      <c r="H164" s="121"/>
      <c r="I164" s="72"/>
      <c r="J164" s="73"/>
      <c r="K164" s="73"/>
      <c r="L164" s="73"/>
      <c r="M164" s="73"/>
      <c r="N164" s="57"/>
      <c r="O164" s="39"/>
      <c r="P164" s="40"/>
      <c r="Q164" s="39"/>
    </row>
    <row r="165" spans="1:17" ht="12" customHeight="1" x14ac:dyDescent="0.3">
      <c r="A165" s="145" t="s">
        <v>687</v>
      </c>
      <c r="B165" s="55" t="s">
        <v>202</v>
      </c>
      <c r="C165" s="56">
        <v>863</v>
      </c>
      <c r="D165" s="68" t="s">
        <v>202</v>
      </c>
      <c r="E165" s="144">
        <v>2460</v>
      </c>
      <c r="F165" s="124"/>
      <c r="G165" s="73"/>
      <c r="H165" s="121"/>
      <c r="I165" s="72"/>
      <c r="J165" s="73"/>
      <c r="K165" s="73"/>
      <c r="L165" s="73"/>
      <c r="M165" s="73"/>
      <c r="N165" s="57"/>
      <c r="O165" s="39"/>
      <c r="P165" s="40"/>
      <c r="Q165" s="39"/>
    </row>
    <row r="166" spans="1:17" ht="12" customHeight="1" x14ac:dyDescent="0.3">
      <c r="A166" s="146" t="s">
        <v>689</v>
      </c>
      <c r="B166" s="55" t="s">
        <v>202</v>
      </c>
      <c r="C166" s="56" t="s">
        <v>202</v>
      </c>
      <c r="D166" s="68" t="s">
        <v>202</v>
      </c>
      <c r="E166" s="144">
        <v>2500</v>
      </c>
      <c r="F166" s="124">
        <f>F167</f>
        <v>0</v>
      </c>
      <c r="G166" s="57">
        <f t="shared" ref="G166:N166" si="64">G167</f>
        <v>0</v>
      </c>
      <c r="H166" s="125">
        <f t="shared" si="64"/>
        <v>0</v>
      </c>
      <c r="I166" s="72">
        <f t="shared" si="64"/>
        <v>0</v>
      </c>
      <c r="J166" s="57">
        <f t="shared" si="64"/>
        <v>0</v>
      </c>
      <c r="K166" s="57">
        <f t="shared" si="64"/>
        <v>0</v>
      </c>
      <c r="L166" s="57">
        <f t="shared" si="64"/>
        <v>0</v>
      </c>
      <c r="M166" s="57">
        <f t="shared" si="64"/>
        <v>0</v>
      </c>
      <c r="N166" s="57">
        <f t="shared" si="64"/>
        <v>0</v>
      </c>
      <c r="O166" s="39"/>
      <c r="P166" s="40"/>
      <c r="Q166" s="39"/>
    </row>
    <row r="167" spans="1:17" ht="12" customHeight="1" x14ac:dyDescent="0.3">
      <c r="A167" s="60" t="s">
        <v>295</v>
      </c>
      <c r="B167" s="55" t="s">
        <v>202</v>
      </c>
      <c r="C167" s="56">
        <v>831</v>
      </c>
      <c r="D167" s="68" t="s">
        <v>202</v>
      </c>
      <c r="E167" s="144">
        <v>2520</v>
      </c>
      <c r="F167" s="124">
        <f>SUM(F168:F173)</f>
        <v>0</v>
      </c>
      <c r="G167" s="57">
        <f t="shared" ref="G167:N167" si="65">SUM(G168:G173)</f>
        <v>0</v>
      </c>
      <c r="H167" s="72">
        <f t="shared" si="65"/>
        <v>0</v>
      </c>
      <c r="I167" s="124">
        <f t="shared" si="65"/>
        <v>0</v>
      </c>
      <c r="J167" s="57">
        <f t="shared" si="65"/>
        <v>0</v>
      </c>
      <c r="K167" s="57">
        <f t="shared" si="65"/>
        <v>0</v>
      </c>
      <c r="L167" s="57">
        <f t="shared" si="65"/>
        <v>0</v>
      </c>
      <c r="M167" s="57">
        <f t="shared" si="65"/>
        <v>0</v>
      </c>
      <c r="N167" s="69">
        <f t="shared" si="65"/>
        <v>0</v>
      </c>
      <c r="O167" s="39"/>
      <c r="P167" s="40"/>
      <c r="Q167" s="39"/>
    </row>
    <row r="168" spans="1:17" ht="12" customHeight="1" x14ac:dyDescent="0.3">
      <c r="A168" s="58" t="str">
        <f t="array" ref="A168:A169">IFERROR(INDEX(КБК!E4:E1045,SMALL(IF((($D$168=КБК!F4:F1045)*($C$168=КБК!G4:G1045)*(NOT(ISERR(SEARCH($O$1,КБК!D4:D1045))))),ROW(КБК!E4:E1045)-3,""),ROW()-O168+1)),"")</f>
        <v/>
      </c>
      <c r="B168" s="55" t="str">
        <f t="array" ref="B168:B169">IFERROR(INDEX(КБК!H4:H1045,SMALL(IF((($D$168=КБК!F4:F1045)*($C$168=КБК!G4:G1045)*(NOT(ISERR(SEARCH($O$1,КБК!D4:D1045))))),ROW(КБК!E4:E1045)-3,""),ROW()-O168+1)),"")</f>
        <v/>
      </c>
      <c r="C168" s="56">
        <v>831</v>
      </c>
      <c r="D168" s="68">
        <v>293</v>
      </c>
      <c r="E168" s="144"/>
      <c r="F168" s="120">
        <f t="shared" ref="F168:H169" si="66">I168+L168</f>
        <v>0</v>
      </c>
      <c r="G168" s="57">
        <f t="shared" si="66"/>
        <v>0</v>
      </c>
      <c r="H168" s="121">
        <f t="shared" si="66"/>
        <v>0</v>
      </c>
      <c r="I168" s="70"/>
      <c r="J168" s="59"/>
      <c r="K168" s="59"/>
      <c r="L168" s="59"/>
      <c r="M168" s="59"/>
      <c r="N168" s="59"/>
      <c r="O168" s="39">
        <f>ROW()</f>
        <v>168</v>
      </c>
      <c r="P168" s="40"/>
      <c r="Q168" s="39"/>
    </row>
    <row r="169" spans="1:17" ht="12" customHeight="1" x14ac:dyDescent="0.3">
      <c r="A169" s="58" t="str">
        <v/>
      </c>
      <c r="B169" s="55" t="str">
        <v/>
      </c>
      <c r="C169" s="56">
        <v>831</v>
      </c>
      <c r="D169" s="68">
        <v>293</v>
      </c>
      <c r="E169" s="144"/>
      <c r="F169" s="120">
        <f t="shared" si="66"/>
        <v>0</v>
      </c>
      <c r="G169" s="57">
        <f t="shared" si="66"/>
        <v>0</v>
      </c>
      <c r="H169" s="121">
        <f t="shared" si="66"/>
        <v>0</v>
      </c>
      <c r="I169" s="70"/>
      <c r="J169" s="59"/>
      <c r="K169" s="59"/>
      <c r="L169" s="59"/>
      <c r="M169" s="59"/>
      <c r="N169" s="59"/>
      <c r="O169" s="39"/>
      <c r="P169" s="40"/>
      <c r="Q169" s="39"/>
    </row>
    <row r="170" spans="1:17" ht="12" customHeight="1" x14ac:dyDescent="0.3">
      <c r="A170" s="58" t="str">
        <f t="array" ref="A170:A171">IFERROR(INDEX(КБК!E4:E1045,SMALL(IF((($D$170=КБК!F4:F1045)*($C$170=КБК!G4:G1045)*(NOT(ISERR(SEARCH($O$1,КБК!D4:D1045))))),ROW(КБК!E4:E1045)-3,""),ROW()-O170+1)),"")</f>
        <v/>
      </c>
      <c r="B170" s="55" t="str">
        <f t="array" ref="B170:B171">IFERROR(INDEX(КБК!H4:H1045,SMALL(IF((($D$170=КБК!F4:F1045)*($C$170=КБК!G4:G1045)*(NOT(ISERR(SEARCH($O$1,КБК!D4:D1045))))),ROW(КБК!E4:E1045)-3,""),ROW()-O170+1)),"")</f>
        <v/>
      </c>
      <c r="C170" s="56">
        <v>831</v>
      </c>
      <c r="D170" s="68">
        <v>296</v>
      </c>
      <c r="E170" s="167"/>
      <c r="F170" s="120">
        <f>I170+L170</f>
        <v>0</v>
      </c>
      <c r="G170" s="57">
        <f t="shared" ref="G170:H173" si="67">J170+M170</f>
        <v>0</v>
      </c>
      <c r="H170" s="121">
        <f t="shared" si="67"/>
        <v>0</v>
      </c>
      <c r="I170" s="70"/>
      <c r="J170" s="59"/>
      <c r="K170" s="59"/>
      <c r="L170" s="59"/>
      <c r="M170" s="59"/>
      <c r="N170" s="59"/>
      <c r="O170" s="39">
        <f>ROW()</f>
        <v>170</v>
      </c>
      <c r="P170" s="40"/>
      <c r="Q170" s="39"/>
    </row>
    <row r="171" spans="1:17" ht="12" customHeight="1" x14ac:dyDescent="0.3">
      <c r="A171" s="58" t="str">
        <v/>
      </c>
      <c r="B171" s="55" t="str">
        <v/>
      </c>
      <c r="C171" s="56">
        <v>831</v>
      </c>
      <c r="D171" s="68">
        <v>296</v>
      </c>
      <c r="E171" s="167"/>
      <c r="F171" s="120">
        <f>I171+L171</f>
        <v>0</v>
      </c>
      <c r="G171" s="57">
        <f t="shared" si="67"/>
        <v>0</v>
      </c>
      <c r="H171" s="121">
        <f t="shared" si="67"/>
        <v>0</v>
      </c>
      <c r="I171" s="70"/>
      <c r="J171" s="59"/>
      <c r="K171" s="59"/>
      <c r="L171" s="59"/>
      <c r="M171" s="59"/>
      <c r="N171" s="59"/>
      <c r="O171" s="39"/>
      <c r="P171" s="40"/>
      <c r="Q171" s="39"/>
    </row>
    <row r="172" spans="1:17" ht="12" customHeight="1" x14ac:dyDescent="0.3">
      <c r="A172" s="58" t="str">
        <f t="array" ref="A172:A173">IFERROR(INDEX(КБК!E4:E1045,SMALL(IF((($D$172=КБК!F4:F1045)*($C$172=КБК!G4:G1045)*(NOT(ISERR(SEARCH($O$1,КБК!D4:D1045))))),ROW(КБК!E4:E1045)-3,""),ROW()-O172+1)),"")</f>
        <v/>
      </c>
      <c r="B172" s="55" t="str">
        <f t="array" ref="B172:B173">IFERROR(INDEX(КБК!H4:H1045,SMALL(IF((($D$172=КБК!F4:F1045)*($C$172=КБК!G4:G1045)*(NOT(ISERR(SEARCH($O$1,КБК!D4:D1045))))),ROW(КБК!E4:E1045)-3,""),ROW()-O172+1)),"")</f>
        <v/>
      </c>
      <c r="C172" s="56">
        <v>831</v>
      </c>
      <c r="D172" s="68">
        <v>297</v>
      </c>
      <c r="E172" s="144"/>
      <c r="F172" s="120">
        <f>I172+L172</f>
        <v>0</v>
      </c>
      <c r="G172" s="57">
        <f t="shared" si="67"/>
        <v>0</v>
      </c>
      <c r="H172" s="121">
        <f t="shared" si="67"/>
        <v>0</v>
      </c>
      <c r="I172" s="70"/>
      <c r="J172" s="59"/>
      <c r="K172" s="59"/>
      <c r="L172" s="59"/>
      <c r="M172" s="59"/>
      <c r="N172" s="59"/>
      <c r="O172" s="39">
        <f>ROW()</f>
        <v>172</v>
      </c>
      <c r="P172" s="40"/>
      <c r="Q172" s="39"/>
    </row>
    <row r="173" spans="1:17" ht="12" customHeight="1" x14ac:dyDescent="0.3">
      <c r="A173" s="58" t="str">
        <v/>
      </c>
      <c r="B173" s="55" t="str">
        <v/>
      </c>
      <c r="C173" s="56">
        <v>831</v>
      </c>
      <c r="D173" s="68">
        <v>297</v>
      </c>
      <c r="E173" s="144"/>
      <c r="F173" s="120">
        <f>I173+L173</f>
        <v>0</v>
      </c>
      <c r="G173" s="57">
        <f t="shared" si="67"/>
        <v>0</v>
      </c>
      <c r="H173" s="121">
        <f t="shared" si="67"/>
        <v>0</v>
      </c>
      <c r="I173" s="70"/>
      <c r="J173" s="59"/>
      <c r="K173" s="59"/>
      <c r="L173" s="59"/>
      <c r="M173" s="59"/>
      <c r="N173" s="59"/>
      <c r="O173" s="39"/>
      <c r="P173" s="40"/>
      <c r="Q173" s="39"/>
    </row>
    <row r="174" spans="1:17" ht="12" customHeight="1" x14ac:dyDescent="0.3">
      <c r="A174" s="60" t="s">
        <v>688</v>
      </c>
      <c r="B174" s="55" t="s">
        <v>202</v>
      </c>
      <c r="C174" s="56" t="s">
        <v>202</v>
      </c>
      <c r="D174" s="68" t="s">
        <v>202</v>
      </c>
      <c r="E174" s="144">
        <v>2600</v>
      </c>
      <c r="F174" s="124">
        <f>F175+F177+F187+F319+F330</f>
        <v>26785095.719999999</v>
      </c>
      <c r="G174" s="57">
        <f t="shared" ref="G174:N174" si="68">G175+G177+G187+G319+G330</f>
        <v>31989200.100000001</v>
      </c>
      <c r="H174" s="72">
        <f t="shared" si="68"/>
        <v>33275678.100000001</v>
      </c>
      <c r="I174" s="124">
        <f t="shared" si="68"/>
        <v>26785095.719999999</v>
      </c>
      <c r="J174" s="57">
        <f t="shared" si="68"/>
        <v>31989200.100000001</v>
      </c>
      <c r="K174" s="57">
        <f t="shared" si="68"/>
        <v>33275678.100000001</v>
      </c>
      <c r="L174" s="57">
        <f t="shared" si="68"/>
        <v>0</v>
      </c>
      <c r="M174" s="57">
        <f t="shared" si="68"/>
        <v>0</v>
      </c>
      <c r="N174" s="69">
        <f t="shared" si="68"/>
        <v>0</v>
      </c>
      <c r="O174" s="39"/>
      <c r="P174" s="40"/>
      <c r="Q174" s="39"/>
    </row>
    <row r="175" spans="1:17" ht="12" customHeight="1" x14ac:dyDescent="0.3">
      <c r="A175" s="60" t="s">
        <v>298</v>
      </c>
      <c r="B175" s="55" t="s">
        <v>202</v>
      </c>
      <c r="C175" s="56">
        <v>241</v>
      </c>
      <c r="D175" s="68" t="s">
        <v>202</v>
      </c>
      <c r="E175" s="144">
        <v>2610</v>
      </c>
      <c r="F175" s="120">
        <f>SUM(F176)</f>
        <v>0</v>
      </c>
      <c r="G175" s="102">
        <f>SUM(G176)</f>
        <v>0</v>
      </c>
      <c r="H175" s="121">
        <f>SUM(H176)</f>
        <v>0</v>
      </c>
      <c r="I175" s="69">
        <f t="shared" ref="I175:N175" si="69">SUM(I176)</f>
        <v>0</v>
      </c>
      <c r="J175" s="102">
        <f t="shared" si="69"/>
        <v>0</v>
      </c>
      <c r="K175" s="102">
        <f t="shared" si="69"/>
        <v>0</v>
      </c>
      <c r="L175" s="102">
        <f t="shared" si="69"/>
        <v>0</v>
      </c>
      <c r="M175" s="102">
        <f t="shared" si="69"/>
        <v>0</v>
      </c>
      <c r="N175" s="57">
        <f t="shared" si="69"/>
        <v>0</v>
      </c>
      <c r="O175" s="39"/>
      <c r="P175" s="40"/>
      <c r="Q175" s="39"/>
    </row>
    <row r="176" spans="1:17" ht="12" customHeight="1" x14ac:dyDescent="0.3">
      <c r="A176" s="60"/>
      <c r="B176" s="55"/>
      <c r="C176" s="56">
        <v>241</v>
      </c>
      <c r="D176" s="68"/>
      <c r="E176" s="167"/>
      <c r="F176" s="120">
        <f>I176+L176</f>
        <v>0</v>
      </c>
      <c r="G176" s="57">
        <f>J176+M176</f>
        <v>0</v>
      </c>
      <c r="H176" s="121">
        <f>K176+N176</f>
        <v>0</v>
      </c>
      <c r="I176" s="70"/>
      <c r="J176" s="59"/>
      <c r="K176" s="59"/>
      <c r="L176" s="59"/>
      <c r="M176" s="59"/>
      <c r="N176" s="59"/>
      <c r="O176" s="39"/>
      <c r="P176" s="40"/>
      <c r="Q176" s="39"/>
    </row>
    <row r="177" spans="1:17" ht="12" customHeight="1" x14ac:dyDescent="0.3">
      <c r="A177" s="60" t="s">
        <v>323</v>
      </c>
      <c r="B177" s="55" t="s">
        <v>202</v>
      </c>
      <c r="C177" s="56">
        <v>243</v>
      </c>
      <c r="D177" s="68" t="s">
        <v>202</v>
      </c>
      <c r="E177" s="144">
        <v>2630</v>
      </c>
      <c r="F177" s="124">
        <f>SUM(F178:F186)</f>
        <v>0</v>
      </c>
      <c r="G177" s="57">
        <f t="shared" ref="G177:N177" si="70">SUM(G178:G186)</f>
        <v>0</v>
      </c>
      <c r="H177" s="72">
        <f t="shared" si="70"/>
        <v>0</v>
      </c>
      <c r="I177" s="124">
        <f t="shared" si="70"/>
        <v>0</v>
      </c>
      <c r="J177" s="57">
        <f t="shared" si="70"/>
        <v>0</v>
      </c>
      <c r="K177" s="57">
        <f t="shared" si="70"/>
        <v>0</v>
      </c>
      <c r="L177" s="57">
        <f t="shared" si="70"/>
        <v>0</v>
      </c>
      <c r="M177" s="57">
        <f t="shared" si="70"/>
        <v>0</v>
      </c>
      <c r="N177" s="69">
        <f t="shared" si="70"/>
        <v>0</v>
      </c>
      <c r="O177" s="39"/>
      <c r="P177" s="40"/>
      <c r="Q177" s="39"/>
    </row>
    <row r="178" spans="1:17" ht="12" customHeight="1" x14ac:dyDescent="0.3">
      <c r="A178" s="65" t="str">
        <f t="array" ref="A178:A180">IFERROR(INDEX(КБК!E4:E1045,SMALL(IF((($D$178=КБК!F4:F1045)*($C$178=КБК!G4:G1045)*(NOT(ISERR(SEARCH($O$1,КБК!D4:D1045))))),ROW(КБК!E4:E1045)-3,""),ROW()-$O$178+1)),"")</f>
        <v/>
      </c>
      <c r="B178" s="55" t="str">
        <f t="array" ref="B178:B180">IFERROR(INDEX(КБК!H4:H1045,SMALL(IF((($D$178=КБК!F4:F1045)*($C$178=КБК!G4:G1045)*(NOT(ISERR(SEARCH($O$1,КБК!D4:D1045))))),ROW(КБК!E4:E1045)-3,""),ROW()-$O$178+1)),"")</f>
        <v/>
      </c>
      <c r="C178" s="56">
        <v>243</v>
      </c>
      <c r="D178" s="68">
        <v>225</v>
      </c>
      <c r="E178" s="144"/>
      <c r="F178" s="120">
        <f t="shared" ref="F178:H180" si="71">I178+L178</f>
        <v>0</v>
      </c>
      <c r="G178" s="57">
        <f t="shared" si="71"/>
        <v>0</v>
      </c>
      <c r="H178" s="121">
        <f t="shared" si="71"/>
        <v>0</v>
      </c>
      <c r="I178" s="70"/>
      <c r="J178" s="59"/>
      <c r="K178" s="59"/>
      <c r="L178" s="59"/>
      <c r="M178" s="59"/>
      <c r="N178" s="59"/>
      <c r="O178" s="39">
        <f>ROW()</f>
        <v>178</v>
      </c>
      <c r="P178" s="40"/>
      <c r="Q178" s="39"/>
    </row>
    <row r="179" spans="1:17" ht="12" customHeight="1" x14ac:dyDescent="0.3">
      <c r="A179" s="65" t="str">
        <v/>
      </c>
      <c r="B179" s="55" t="str">
        <v/>
      </c>
      <c r="C179" s="56">
        <v>243</v>
      </c>
      <c r="D179" s="68">
        <v>225</v>
      </c>
      <c r="E179" s="144"/>
      <c r="F179" s="120">
        <f t="shared" si="71"/>
        <v>0</v>
      </c>
      <c r="G179" s="57">
        <f t="shared" si="71"/>
        <v>0</v>
      </c>
      <c r="H179" s="121">
        <f t="shared" si="71"/>
        <v>0</v>
      </c>
      <c r="I179" s="70"/>
      <c r="J179" s="59"/>
      <c r="K179" s="59"/>
      <c r="L179" s="59"/>
      <c r="M179" s="59"/>
      <c r="N179" s="59"/>
      <c r="O179" s="39"/>
      <c r="P179" s="40"/>
      <c r="Q179" s="39"/>
    </row>
    <row r="180" spans="1:17" ht="12" customHeight="1" x14ac:dyDescent="0.3">
      <c r="A180" s="65" t="str">
        <v/>
      </c>
      <c r="B180" s="55" t="str">
        <v/>
      </c>
      <c r="C180" s="56">
        <v>243</v>
      </c>
      <c r="D180" s="68">
        <v>225</v>
      </c>
      <c r="E180" s="144"/>
      <c r="F180" s="120">
        <f t="shared" si="71"/>
        <v>0</v>
      </c>
      <c r="G180" s="57">
        <f t="shared" si="71"/>
        <v>0</v>
      </c>
      <c r="H180" s="121">
        <f t="shared" si="71"/>
        <v>0</v>
      </c>
      <c r="I180" s="70"/>
      <c r="J180" s="59"/>
      <c r="K180" s="59"/>
      <c r="L180" s="59"/>
      <c r="M180" s="59"/>
      <c r="N180" s="59"/>
      <c r="O180" s="39"/>
      <c r="P180" s="40"/>
      <c r="Q180" s="39"/>
    </row>
    <row r="181" spans="1:17" ht="12" customHeight="1" x14ac:dyDescent="0.3">
      <c r="A181" s="58" t="str">
        <f t="array" ref="A181:A182">IFERROR(INDEX(КБК!E4:E1045,SMALL(IF((($D$181=КБК!F4:F1045)*($C$181=КБК!G4:G1045)*(NOT(ISERR(SEARCH($O$1,КБК!D4:D1045))))),ROW(КБК!E4:E1045)-3,""),ROW()-$O$181+1)),"")</f>
        <v/>
      </c>
      <c r="B181" s="55" t="str">
        <f t="array" ref="B181:B182">IFERROR(INDEX(КБК!H4:H1045,SMALL(IF((($D$181=КБК!F4:F1045)*($C$181=КБК!G4:G1045)*(NOT(ISERR(SEARCH($O$1,КБК!D4:D1045))))),ROW(КБК!E4:E1045)-3,""),ROW()-$O$181+1)),"")</f>
        <v/>
      </c>
      <c r="C181" s="56">
        <v>243</v>
      </c>
      <c r="D181" s="68">
        <v>226</v>
      </c>
      <c r="E181" s="167"/>
      <c r="F181" s="120">
        <f t="shared" ref="F181:H182" si="72">I181+L181</f>
        <v>0</v>
      </c>
      <c r="G181" s="57">
        <f t="shared" si="72"/>
        <v>0</v>
      </c>
      <c r="H181" s="121">
        <f t="shared" si="72"/>
        <v>0</v>
      </c>
      <c r="I181" s="71"/>
      <c r="J181" s="59"/>
      <c r="K181" s="59"/>
      <c r="L181" s="59"/>
      <c r="M181" s="59"/>
      <c r="N181" s="59"/>
      <c r="O181" s="39">
        <f>ROW()</f>
        <v>181</v>
      </c>
      <c r="P181" s="40"/>
      <c r="Q181" s="39"/>
    </row>
    <row r="182" spans="1:17" ht="12" customHeight="1" x14ac:dyDescent="0.3">
      <c r="A182" s="58" t="str">
        <v/>
      </c>
      <c r="B182" s="55" t="str">
        <v/>
      </c>
      <c r="C182" s="56">
        <v>243</v>
      </c>
      <c r="D182" s="68">
        <v>226</v>
      </c>
      <c r="E182" s="167"/>
      <c r="F182" s="120">
        <f t="shared" si="72"/>
        <v>0</v>
      </c>
      <c r="G182" s="57">
        <f t="shared" si="72"/>
        <v>0</v>
      </c>
      <c r="H182" s="121">
        <f t="shared" si="72"/>
        <v>0</v>
      </c>
      <c r="I182" s="70"/>
      <c r="J182" s="59"/>
      <c r="K182" s="59"/>
      <c r="L182" s="59"/>
      <c r="M182" s="59"/>
      <c r="N182" s="59"/>
      <c r="O182" s="39"/>
      <c r="P182" s="40"/>
      <c r="Q182" s="39"/>
    </row>
    <row r="183" spans="1:17" ht="12" customHeight="1" x14ac:dyDescent="0.3">
      <c r="A183" s="58" t="str">
        <f t="array" ref="A183:A184">IFERROR(INDEX(КБК!E4:E1045,SMALL(IF((($D$183=КБК!F4:F1045)*($C$183=КБК!G4:G1045)*(NOT(ISERR(SEARCH($O$1,КБК!D4:D1045))))),ROW(КБК!E4:E1045)-3,""),ROW()-$O$183+1)),"")</f>
        <v/>
      </c>
      <c r="B183" s="55" t="str">
        <f t="array" ref="B183:B184">IFERROR(INDEX(КБК!H4:H1045,SMALL(IF((($D$183=КБК!F4:F1045)*($C$183=КБК!G4:G1045)*(NOT(ISERR(SEARCH($O$1,КБК!D4:D1045))))),ROW(КБК!E4:E1045)-3,""),ROW()-$O$183+1)),"")</f>
        <v/>
      </c>
      <c r="C183" s="56">
        <v>243</v>
      </c>
      <c r="D183" s="68">
        <v>228</v>
      </c>
      <c r="E183" s="144"/>
      <c r="F183" s="124">
        <f t="shared" ref="F183:H184" si="73">I183+L183</f>
        <v>0</v>
      </c>
      <c r="G183" s="57">
        <f t="shared" si="73"/>
        <v>0</v>
      </c>
      <c r="H183" s="121">
        <f t="shared" si="73"/>
        <v>0</v>
      </c>
      <c r="I183" s="71"/>
      <c r="J183" s="59"/>
      <c r="K183" s="59"/>
      <c r="L183" s="59"/>
      <c r="M183" s="59"/>
      <c r="N183" s="59"/>
      <c r="O183" s="39">
        <f>ROW()</f>
        <v>183</v>
      </c>
      <c r="P183" s="40"/>
      <c r="Q183" s="39"/>
    </row>
    <row r="184" spans="1:17" ht="12" customHeight="1" x14ac:dyDescent="0.3">
      <c r="A184" s="58" t="str">
        <v/>
      </c>
      <c r="B184" s="55" t="str">
        <v/>
      </c>
      <c r="C184" s="56">
        <v>243</v>
      </c>
      <c r="D184" s="68">
        <v>228</v>
      </c>
      <c r="E184" s="144"/>
      <c r="F184" s="124">
        <f t="shared" si="73"/>
        <v>0</v>
      </c>
      <c r="G184" s="57">
        <f t="shared" si="73"/>
        <v>0</v>
      </c>
      <c r="H184" s="121">
        <f t="shared" si="73"/>
        <v>0</v>
      </c>
      <c r="I184" s="71"/>
      <c r="J184" s="59"/>
      <c r="K184" s="59"/>
      <c r="L184" s="59"/>
      <c r="M184" s="59"/>
      <c r="N184" s="59"/>
      <c r="O184" s="39"/>
      <c r="P184" s="40"/>
      <c r="Q184" s="39"/>
    </row>
    <row r="185" spans="1:17" ht="12" customHeight="1" x14ac:dyDescent="0.3">
      <c r="A185" s="58" t="str">
        <f t="array" ref="A185:A186">IFERROR(INDEX(КБК!E4:E1045,SMALL(IF((($D$185=КБК!F4:F1045)*($C$185=КБК!G4:G1045)*(NOT(ISERR(SEARCH($O$1,КБК!D4:D1045))))),ROW(КБК!E4:E1045)-3,""),ROW()-$O$185+1)),"")</f>
        <v/>
      </c>
      <c r="B185" s="55" t="str">
        <f t="array" ref="B185:B186">IFERROR(INDEX(КБК!H4:H1045,SMALL(IF((($D$185=КБК!F4:F1045)*($C$185=КБК!G4:G1045)*(NOT(ISERR(SEARCH($O$1,КБК!D4:D1045))))),ROW(КБК!E4:E1045)-3,""),ROW()-$O$185+1)),"")</f>
        <v/>
      </c>
      <c r="C185" s="56">
        <v>243</v>
      </c>
      <c r="D185" s="68">
        <v>310</v>
      </c>
      <c r="E185" s="167"/>
      <c r="F185" s="124">
        <f t="shared" ref="F185:H186" si="74">I185+L185</f>
        <v>0</v>
      </c>
      <c r="G185" s="57">
        <f t="shared" si="74"/>
        <v>0</v>
      </c>
      <c r="H185" s="125">
        <f t="shared" si="74"/>
        <v>0</v>
      </c>
      <c r="I185" s="71"/>
      <c r="J185" s="59"/>
      <c r="K185" s="71"/>
      <c r="L185" s="59"/>
      <c r="M185" s="59"/>
      <c r="N185" s="59"/>
      <c r="O185" s="39">
        <f>ROW()</f>
        <v>185</v>
      </c>
      <c r="P185" s="40"/>
      <c r="Q185" s="39"/>
    </row>
    <row r="186" spans="1:17" ht="12" customHeight="1" x14ac:dyDescent="0.3">
      <c r="A186" s="58" t="str">
        <v/>
      </c>
      <c r="B186" s="55" t="str">
        <v/>
      </c>
      <c r="C186" s="56">
        <v>243</v>
      </c>
      <c r="D186" s="68">
        <v>310</v>
      </c>
      <c r="E186" s="167"/>
      <c r="F186" s="124">
        <f t="shared" si="74"/>
        <v>0</v>
      </c>
      <c r="G186" s="57">
        <f t="shared" si="74"/>
        <v>0</v>
      </c>
      <c r="H186" s="121">
        <f t="shared" si="74"/>
        <v>0</v>
      </c>
      <c r="I186" s="71"/>
      <c r="J186" s="59"/>
      <c r="K186" s="71"/>
      <c r="L186" s="59"/>
      <c r="M186" s="59"/>
      <c r="N186" s="59"/>
      <c r="O186" s="39"/>
      <c r="P186" s="40"/>
      <c r="Q186" s="39"/>
    </row>
    <row r="187" spans="1:17" ht="12" customHeight="1" x14ac:dyDescent="0.3">
      <c r="A187" s="60" t="s">
        <v>299</v>
      </c>
      <c r="B187" s="55" t="s">
        <v>202</v>
      </c>
      <c r="C187" s="56">
        <v>244</v>
      </c>
      <c r="D187" s="68" t="s">
        <v>202</v>
      </c>
      <c r="E187" s="144">
        <v>2640</v>
      </c>
      <c r="F187" s="57">
        <f>SUM(F188:F318)</f>
        <v>5926955.7199999997</v>
      </c>
      <c r="G187" s="57">
        <f t="shared" ref="G187:N187" si="75">SUM(G188:G318)</f>
        <v>5845087.4000000004</v>
      </c>
      <c r="H187" s="121">
        <f t="shared" si="75"/>
        <v>5845087.4000000004</v>
      </c>
      <c r="I187" s="69">
        <f t="shared" si="75"/>
        <v>5926955.7199999997</v>
      </c>
      <c r="J187" s="57">
        <f t="shared" si="75"/>
        <v>5845087.4000000004</v>
      </c>
      <c r="K187" s="57">
        <f t="shared" si="75"/>
        <v>5845087.4000000004</v>
      </c>
      <c r="L187" s="57">
        <f>SUM(L188:L318)</f>
        <v>0</v>
      </c>
      <c r="M187" s="57">
        <f t="shared" si="75"/>
        <v>0</v>
      </c>
      <c r="N187" s="57">
        <f t="shared" si="75"/>
        <v>0</v>
      </c>
      <c r="O187" s="39"/>
      <c r="P187" s="40"/>
      <c r="Q187" s="39"/>
    </row>
    <row r="188" spans="1:17" ht="12" customHeight="1" x14ac:dyDescent="0.3">
      <c r="A188" s="58" t="str">
        <f t="array" ref="A188:A190">IFERROR(INDEX(КБК!E4:E1045,SMALL(IF((($D$188=КБК!F4:F1045)*($C$188=КБК!G4:G1045)*(NOT(ISERR(SEARCH($O$1,КБК!D4:D1045))))),ROW(КБК!E4:E1045)-3,""),ROW()-$O$188+1)),"")</f>
        <v>доходы 0000000131.244.0</v>
      </c>
      <c r="B188" s="55" t="str">
        <f t="array" ref="B188:B190">IFERROR(INDEX(КБК!H4:H1045,SMALL(IF((($D$188=КБК!F4:F1045)*($C$188=КБК!G4:G1045)*(NOT(ISERR(SEARCH($O$1,КБК!D4:D1045))))),ROW(КБК!E4:E1045)-3,""),ROW()-$O$188+1)),"")</f>
        <v>1102</v>
      </c>
      <c r="C188" s="56">
        <v>244</v>
      </c>
      <c r="D188" s="68">
        <v>221</v>
      </c>
      <c r="E188" s="144"/>
      <c r="F188" s="120">
        <f t="shared" ref="F188:H190" si="76">I188+L188</f>
        <v>8000</v>
      </c>
      <c r="G188" s="57">
        <f t="shared" si="76"/>
        <v>8000</v>
      </c>
      <c r="H188" s="121">
        <f t="shared" si="76"/>
        <v>8000</v>
      </c>
      <c r="I188" s="70">
        <v>8000</v>
      </c>
      <c r="J188" s="70">
        <v>8000</v>
      </c>
      <c r="K188" s="70">
        <v>8000</v>
      </c>
      <c r="L188" s="59"/>
      <c r="M188" s="59"/>
      <c r="N188" s="59"/>
      <c r="O188" s="39">
        <f>ROW()</f>
        <v>188</v>
      </c>
      <c r="P188" s="40"/>
      <c r="Q188" s="39"/>
    </row>
    <row r="189" spans="1:17" ht="12" customHeight="1" x14ac:dyDescent="0.3">
      <c r="A189" s="58" t="str">
        <v>спорт 1130387590.244.0</v>
      </c>
      <c r="B189" s="55" t="str">
        <v>1102</v>
      </c>
      <c r="C189" s="56">
        <v>244</v>
      </c>
      <c r="D189" s="68">
        <v>221</v>
      </c>
      <c r="E189" s="144"/>
      <c r="F189" s="120">
        <f t="shared" si="76"/>
        <v>81000</v>
      </c>
      <c r="G189" s="57">
        <f t="shared" si="76"/>
        <v>81000</v>
      </c>
      <c r="H189" s="121">
        <f t="shared" si="76"/>
        <v>81000</v>
      </c>
      <c r="I189" s="70">
        <v>81000</v>
      </c>
      <c r="J189" s="70">
        <v>81000</v>
      </c>
      <c r="K189" s="70">
        <v>81000</v>
      </c>
      <c r="L189" s="59"/>
      <c r="M189" s="59"/>
      <c r="N189" s="59"/>
      <c r="O189" s="39"/>
      <c r="P189" s="40"/>
      <c r="Q189" s="39"/>
    </row>
    <row r="190" spans="1:17" ht="12" customHeight="1" x14ac:dyDescent="0.3">
      <c r="A190" s="58" t="str">
        <v/>
      </c>
      <c r="B190" s="55" t="str">
        <v/>
      </c>
      <c r="C190" s="56">
        <v>244</v>
      </c>
      <c r="D190" s="68">
        <v>221</v>
      </c>
      <c r="E190" s="144"/>
      <c r="F190" s="120">
        <f t="shared" si="76"/>
        <v>0</v>
      </c>
      <c r="G190" s="57">
        <f t="shared" si="76"/>
        <v>0</v>
      </c>
      <c r="H190" s="121">
        <f t="shared" si="76"/>
        <v>0</v>
      </c>
      <c r="I190" s="70"/>
      <c r="J190" s="70"/>
      <c r="K190" s="70"/>
      <c r="L190" s="59"/>
      <c r="M190" s="59"/>
      <c r="N190" s="59"/>
      <c r="O190" s="39"/>
      <c r="P190" s="40"/>
      <c r="Q190" s="39"/>
    </row>
    <row r="191" spans="1:17" ht="12" customHeight="1" x14ac:dyDescent="0.3">
      <c r="A191" s="58" t="str">
        <f t="array" ref="A191:A196">IFERROR(INDEX(КБК!E4:E1045,SMALL(IF((($D$191=КБК!F4:F1045)*($C$191=КБК!G4:G1045)*(NOT(ISERR(SEARCH($O$1,КБК!D4:D1045))))),ROW(КБК!E4:E1045)-3,""),ROW()-$O$191+1)),"")</f>
        <v>доходы 0000000131.244.0</v>
      </c>
      <c r="B191" s="55" t="str">
        <f t="array" ref="B191:B196">IFERROR(INDEX(КБК!H4:H1045,SMALL(IF((($D$191=КБК!F4:F1045)*($C$191=КБК!G4:G1045)*(NOT(ISERR(SEARCH($O$1,КБК!D4:D1045))))),ROW(КБК!E4:E1045)-3,""),ROW()-$O$191+1)),"")</f>
        <v>1102</v>
      </c>
      <c r="C191" s="56">
        <v>244</v>
      </c>
      <c r="D191" s="68">
        <v>222</v>
      </c>
      <c r="E191" s="167"/>
      <c r="F191" s="120">
        <f t="shared" ref="F191:H200" si="77">I191+L191</f>
        <v>3000</v>
      </c>
      <c r="G191" s="57">
        <f t="shared" si="77"/>
        <v>3000</v>
      </c>
      <c r="H191" s="121">
        <f t="shared" si="77"/>
        <v>3000</v>
      </c>
      <c r="I191" s="70">
        <v>3000</v>
      </c>
      <c r="J191" s="70">
        <v>3000</v>
      </c>
      <c r="K191" s="70">
        <v>3000</v>
      </c>
      <c r="L191" s="59"/>
      <c r="M191" s="59"/>
      <c r="N191" s="59"/>
      <c r="O191" s="39">
        <f>ROW()</f>
        <v>191</v>
      </c>
      <c r="P191" s="40"/>
      <c r="Q191" s="39"/>
    </row>
    <row r="192" spans="1:17" ht="12" customHeight="1" x14ac:dyDescent="0.3">
      <c r="A192" s="58" t="str">
        <v>спорт 1130387590.244.0</v>
      </c>
      <c r="B192" s="55" t="str">
        <v>1102</v>
      </c>
      <c r="C192" s="56">
        <v>244</v>
      </c>
      <c r="D192" s="68">
        <v>222</v>
      </c>
      <c r="E192" s="167"/>
      <c r="F192" s="120">
        <f t="shared" si="77"/>
        <v>18000</v>
      </c>
      <c r="G192" s="57">
        <f t="shared" si="77"/>
        <v>18000</v>
      </c>
      <c r="H192" s="121">
        <f t="shared" si="77"/>
        <v>18000</v>
      </c>
      <c r="I192" s="70">
        <v>18000</v>
      </c>
      <c r="J192" s="70">
        <v>18000</v>
      </c>
      <c r="K192" s="70">
        <v>18000</v>
      </c>
      <c r="L192" s="59"/>
      <c r="M192" s="59"/>
      <c r="N192" s="59"/>
      <c r="O192" s="39"/>
      <c r="P192" s="40"/>
      <c r="Q192" s="39"/>
    </row>
    <row r="193" spans="1:17" ht="12" customHeight="1" x14ac:dyDescent="0.3">
      <c r="A193" s="58" t="str">
        <v/>
      </c>
      <c r="B193" s="55" t="str">
        <v/>
      </c>
      <c r="C193" s="56">
        <v>244</v>
      </c>
      <c r="D193" s="68">
        <v>222</v>
      </c>
      <c r="E193" s="167"/>
      <c r="F193" s="120">
        <f t="shared" si="77"/>
        <v>0</v>
      </c>
      <c r="G193" s="57">
        <f t="shared" si="77"/>
        <v>0</v>
      </c>
      <c r="H193" s="121">
        <f t="shared" si="77"/>
        <v>0</v>
      </c>
      <c r="I193" s="70"/>
      <c r="J193" s="70"/>
      <c r="K193" s="70"/>
      <c r="L193" s="59"/>
      <c r="M193" s="59"/>
      <c r="N193" s="59"/>
      <c r="O193" s="39"/>
      <c r="P193" s="40"/>
      <c r="Q193" s="39"/>
    </row>
    <row r="194" spans="1:17" ht="12" customHeight="1" x14ac:dyDescent="0.3">
      <c r="A194" s="58" t="str">
        <v/>
      </c>
      <c r="B194" s="55" t="str">
        <v/>
      </c>
      <c r="C194" s="56">
        <v>244</v>
      </c>
      <c r="D194" s="68">
        <v>222</v>
      </c>
      <c r="E194" s="167"/>
      <c r="F194" s="120">
        <f t="shared" si="77"/>
        <v>0</v>
      </c>
      <c r="G194" s="57">
        <f t="shared" si="77"/>
        <v>0</v>
      </c>
      <c r="H194" s="121">
        <f t="shared" si="77"/>
        <v>0</v>
      </c>
      <c r="I194" s="70"/>
      <c r="J194" s="70"/>
      <c r="K194" s="70"/>
      <c r="L194" s="59"/>
      <c r="M194" s="59"/>
      <c r="N194" s="59"/>
      <c r="O194" s="39"/>
      <c r="P194" s="40"/>
      <c r="Q194" s="39"/>
    </row>
    <row r="195" spans="1:17" ht="12" customHeight="1" x14ac:dyDescent="0.3">
      <c r="A195" s="58" t="str">
        <v/>
      </c>
      <c r="B195" s="55" t="str">
        <v/>
      </c>
      <c r="C195" s="56">
        <v>244</v>
      </c>
      <c r="D195" s="68">
        <v>222</v>
      </c>
      <c r="E195" s="167"/>
      <c r="F195" s="120">
        <f t="shared" si="77"/>
        <v>0</v>
      </c>
      <c r="G195" s="57">
        <f t="shared" si="77"/>
        <v>0</v>
      </c>
      <c r="H195" s="121">
        <f t="shared" si="77"/>
        <v>0</v>
      </c>
      <c r="I195" s="70"/>
      <c r="J195" s="70"/>
      <c r="K195" s="70"/>
      <c r="L195" s="59"/>
      <c r="M195" s="59"/>
      <c r="N195" s="59"/>
      <c r="O195" s="39"/>
      <c r="P195" s="40"/>
      <c r="Q195" s="39"/>
    </row>
    <row r="196" spans="1:17" ht="12" customHeight="1" x14ac:dyDescent="0.3">
      <c r="A196" s="58" t="str">
        <v/>
      </c>
      <c r="B196" s="55" t="str">
        <v/>
      </c>
      <c r="C196" s="56">
        <v>244</v>
      </c>
      <c r="D196" s="68">
        <v>222</v>
      </c>
      <c r="E196" s="167"/>
      <c r="F196" s="120">
        <f t="shared" si="77"/>
        <v>0</v>
      </c>
      <c r="G196" s="57">
        <f t="shared" si="77"/>
        <v>0</v>
      </c>
      <c r="H196" s="121">
        <f t="shared" si="77"/>
        <v>0</v>
      </c>
      <c r="I196" s="70"/>
      <c r="J196" s="70"/>
      <c r="K196" s="70"/>
      <c r="L196" s="59"/>
      <c r="M196" s="59"/>
      <c r="N196" s="59"/>
      <c r="O196" s="39"/>
      <c r="P196" s="40"/>
      <c r="Q196" s="39"/>
    </row>
    <row r="197" spans="1:17" ht="12" customHeight="1" x14ac:dyDescent="0.3">
      <c r="A197" s="58" t="str">
        <f t="array" ref="A197:A200">IFERROR(INDEX(КБК!E4:E1045,SMALL(IF(((2232=КБК!F4:F1045)*($C$197=КБК!G4:G1045)*(NOT(ISERR(SEARCH($O$1,КБК!D4:D1045))))),ROW(КБК!E4:E1045)-3,""),ROW()-$O$197+1)),"")</f>
        <v/>
      </c>
      <c r="B197" s="55" t="str">
        <f t="array" ref="B197:B200">IFERROR(INDEX(КБК!H4:H1045,SMALL(IF(((2232=КБК!F4:F1045)*($C$197=КБК!G4:G1045)*(NOT(ISERR(SEARCH($O$1,КБК!D4:D1045))))),ROW(КБК!E4:E1045)-3,""),ROW()-$O$197+1)),"")</f>
        <v/>
      </c>
      <c r="C197" s="56">
        <v>244</v>
      </c>
      <c r="D197" s="68">
        <v>223</v>
      </c>
      <c r="E197" s="144"/>
      <c r="F197" s="120">
        <f t="shared" si="77"/>
        <v>0</v>
      </c>
      <c r="G197" s="57">
        <f t="shared" si="77"/>
        <v>0</v>
      </c>
      <c r="H197" s="121">
        <f t="shared" si="77"/>
        <v>0</v>
      </c>
      <c r="I197" s="70"/>
      <c r="J197" s="70"/>
      <c r="K197" s="70"/>
      <c r="L197" s="59"/>
      <c r="M197" s="59"/>
      <c r="N197" s="59"/>
      <c r="O197" s="39">
        <f>ROW()</f>
        <v>197</v>
      </c>
      <c r="P197" s="40"/>
      <c r="Q197" s="39"/>
    </row>
    <row r="198" spans="1:17" ht="12" customHeight="1" x14ac:dyDescent="0.3">
      <c r="A198" s="58" t="str">
        <v/>
      </c>
      <c r="B198" s="55" t="str">
        <v/>
      </c>
      <c r="C198" s="56">
        <v>244</v>
      </c>
      <c r="D198" s="68">
        <v>223</v>
      </c>
      <c r="E198" s="144"/>
      <c r="F198" s="120">
        <f t="shared" si="77"/>
        <v>0</v>
      </c>
      <c r="G198" s="57">
        <f t="shared" si="77"/>
        <v>0</v>
      </c>
      <c r="H198" s="121">
        <f t="shared" si="77"/>
        <v>0</v>
      </c>
      <c r="I198" s="70"/>
      <c r="J198" s="70"/>
      <c r="K198" s="70"/>
      <c r="L198" s="59"/>
      <c r="M198" s="59"/>
      <c r="N198" s="59"/>
      <c r="O198" s="39"/>
      <c r="P198" s="40"/>
      <c r="Q198" s="39"/>
    </row>
    <row r="199" spans="1:17" ht="12" customHeight="1" x14ac:dyDescent="0.3">
      <c r="A199" s="58" t="str">
        <v/>
      </c>
      <c r="B199" s="55" t="str">
        <v/>
      </c>
      <c r="C199" s="56">
        <v>244</v>
      </c>
      <c r="D199" s="68">
        <v>223</v>
      </c>
      <c r="E199" s="144"/>
      <c r="F199" s="120">
        <f t="shared" si="77"/>
        <v>0</v>
      </c>
      <c r="G199" s="57">
        <f t="shared" si="77"/>
        <v>0</v>
      </c>
      <c r="H199" s="121">
        <f t="shared" si="77"/>
        <v>0</v>
      </c>
      <c r="I199" s="70"/>
      <c r="J199" s="70"/>
      <c r="K199" s="70"/>
      <c r="L199" s="59"/>
      <c r="M199" s="59"/>
      <c r="N199" s="59"/>
      <c r="O199" s="39"/>
      <c r="P199" s="40"/>
      <c r="Q199" s="39"/>
    </row>
    <row r="200" spans="1:17" ht="12" customHeight="1" x14ac:dyDescent="0.3">
      <c r="A200" s="58" t="str">
        <v/>
      </c>
      <c r="B200" s="55" t="str">
        <v/>
      </c>
      <c r="C200" s="56">
        <v>244</v>
      </c>
      <c r="D200" s="68">
        <v>223</v>
      </c>
      <c r="E200" s="144"/>
      <c r="F200" s="120">
        <f t="shared" si="77"/>
        <v>0</v>
      </c>
      <c r="G200" s="57">
        <f t="shared" si="77"/>
        <v>0</v>
      </c>
      <c r="H200" s="121">
        <f t="shared" si="77"/>
        <v>0</v>
      </c>
      <c r="I200" s="70"/>
      <c r="J200" s="70"/>
      <c r="K200" s="70"/>
      <c r="L200" s="59"/>
      <c r="M200" s="59"/>
      <c r="N200" s="59"/>
      <c r="O200" s="39"/>
      <c r="P200" s="40"/>
      <c r="Q200" s="39"/>
    </row>
    <row r="201" spans="1:17" ht="12" customHeight="1" x14ac:dyDescent="0.3">
      <c r="A201" s="58" t="str">
        <f t="array" ref="A201:A203">IFERROR(INDEX(КБК!E4:E1045,SMALL(IF(((2233=КБК!F4:F1045)*($C$201=КБК!G4:G1045)*(NOT(ISERR(SEARCH($O$1,КБК!D4:D1045))))),ROW(КБК!E4:E1045)-3,""),ROW()-$O$201+1)),"")</f>
        <v>доходы 0000000131.244.В</v>
      </c>
      <c r="B201" s="55" t="str">
        <f t="array" ref="B201:B203">IFERROR(INDEX(КБК!H4:H1045,SMALL(IF(((2233=КБК!F4:F1045)*($C$201=КБК!G4:G1045)*(NOT(ISERR(SEARCH($O$1,КБК!D4:D1045))))),ROW(КБК!E4:E1045)-3,""),ROW()-$O$201+1)),"")</f>
        <v>1102</v>
      </c>
      <c r="C201" s="56">
        <v>244</v>
      </c>
      <c r="D201" s="68">
        <v>223</v>
      </c>
      <c r="E201" s="167"/>
      <c r="F201" s="120">
        <f>I201+L201</f>
        <v>861300</v>
      </c>
      <c r="G201" s="57">
        <f t="shared" ref="G201:H204" si="78">J201+M201</f>
        <v>861300</v>
      </c>
      <c r="H201" s="121">
        <f t="shared" si="78"/>
        <v>861300</v>
      </c>
      <c r="I201" s="70">
        <v>861300</v>
      </c>
      <c r="J201" s="70">
        <v>861300</v>
      </c>
      <c r="K201" s="70">
        <v>861300</v>
      </c>
      <c r="L201" s="59"/>
      <c r="M201" s="59"/>
      <c r="N201" s="59"/>
      <c r="O201" s="39">
        <f>ROW()</f>
        <v>201</v>
      </c>
      <c r="P201" s="40"/>
      <c r="Q201" s="39"/>
    </row>
    <row r="202" spans="1:17" ht="12" customHeight="1" x14ac:dyDescent="0.3">
      <c r="A202" s="58" t="str">
        <v>спорт 1130387590.244.В</v>
      </c>
      <c r="B202" s="55" t="str">
        <v>1102</v>
      </c>
      <c r="C202" s="56">
        <v>244</v>
      </c>
      <c r="D202" s="68">
        <v>223</v>
      </c>
      <c r="E202" s="167"/>
      <c r="F202" s="120">
        <f>I202+L202</f>
        <v>50940</v>
      </c>
      <c r="G202" s="57">
        <f t="shared" si="78"/>
        <v>50940</v>
      </c>
      <c r="H202" s="121">
        <f t="shared" si="78"/>
        <v>50940</v>
      </c>
      <c r="I202" s="70">
        <v>50940</v>
      </c>
      <c r="J202" s="70">
        <v>50940</v>
      </c>
      <c r="K202" s="70">
        <v>50940</v>
      </c>
      <c r="L202" s="59"/>
      <c r="M202" s="59"/>
      <c r="N202" s="59"/>
      <c r="O202" s="39"/>
      <c r="P202" s="40"/>
      <c r="Q202" s="39"/>
    </row>
    <row r="203" spans="1:17" ht="12" customHeight="1" x14ac:dyDescent="0.3">
      <c r="A203" s="58" t="str">
        <v/>
      </c>
      <c r="B203" s="55" t="str">
        <v/>
      </c>
      <c r="C203" s="56">
        <v>244</v>
      </c>
      <c r="D203" s="68">
        <v>223</v>
      </c>
      <c r="E203" s="167"/>
      <c r="F203" s="120">
        <f>I203+L203</f>
        <v>0</v>
      </c>
      <c r="G203" s="57">
        <f t="shared" si="78"/>
        <v>0</v>
      </c>
      <c r="H203" s="121">
        <f t="shared" si="78"/>
        <v>0</v>
      </c>
      <c r="I203" s="70"/>
      <c r="J203" s="70"/>
      <c r="K203" s="70"/>
      <c r="L203" s="59"/>
      <c r="M203" s="59"/>
      <c r="N203" s="59"/>
      <c r="O203" s="39"/>
      <c r="P203" s="40"/>
      <c r="Q203" s="39"/>
    </row>
    <row r="204" spans="1:17" ht="12" customHeight="1" x14ac:dyDescent="0.3">
      <c r="A204" s="58"/>
      <c r="B204" s="55"/>
      <c r="C204" s="56">
        <v>244</v>
      </c>
      <c r="D204" s="68">
        <v>223</v>
      </c>
      <c r="E204" s="167"/>
      <c r="F204" s="120">
        <f>I204+L204</f>
        <v>0</v>
      </c>
      <c r="G204" s="57">
        <f t="shared" si="78"/>
        <v>0</v>
      </c>
      <c r="H204" s="121">
        <f t="shared" si="78"/>
        <v>0</v>
      </c>
      <c r="I204" s="70"/>
      <c r="J204" s="70"/>
      <c r="K204" s="70"/>
      <c r="L204" s="59"/>
      <c r="M204" s="59"/>
      <c r="N204" s="59"/>
      <c r="O204" s="39"/>
      <c r="P204" s="40"/>
      <c r="Q204" s="39"/>
    </row>
    <row r="205" spans="1:17" ht="12" customHeight="1" x14ac:dyDescent="0.3">
      <c r="A205" s="58" t="str">
        <f t="array" ref="A205:A207">IFERROR(INDEX(КБК!E4:E1045,SMALL(IF(((2234=КБК!F4:F1045)*($C$205=КБК!G4:G1045)*(NOT(ISERR(SEARCH($O$1,КБК!D4:D1045))))),ROW(КБК!E4:E1045)-3,""),ROW()-$O$205+1)),"")</f>
        <v>спорт 1130387590.244.М</v>
      </c>
      <c r="B205" s="55" t="str">
        <f t="array" ref="B205:B207">IFERROR(INDEX(КБК!H4:H1045,SMALL(IF(((2234=КБК!F4:F1045)*($C$205=КБК!G4:G1045)*(NOT(ISERR(SEARCH($O$1,КБК!D4:D1045))))),ROW(КБК!E4:E1045)-3,""),ROW()-$O$205+1)),"")</f>
        <v>1102</v>
      </c>
      <c r="C205" s="56">
        <v>244</v>
      </c>
      <c r="D205" s="68">
        <v>223</v>
      </c>
      <c r="E205" s="144"/>
      <c r="F205" s="120">
        <f t="shared" ref="F205:H206" si="79">I205+L205</f>
        <v>75690</v>
      </c>
      <c r="G205" s="57">
        <f t="shared" si="79"/>
        <v>75690</v>
      </c>
      <c r="H205" s="121">
        <f t="shared" si="79"/>
        <v>75690</v>
      </c>
      <c r="I205" s="70">
        <v>75690</v>
      </c>
      <c r="J205" s="70">
        <v>75690</v>
      </c>
      <c r="K205" s="70">
        <v>75690</v>
      </c>
      <c r="L205" s="59"/>
      <c r="M205" s="59"/>
      <c r="N205" s="59"/>
      <c r="O205" s="39">
        <f>ROW()</f>
        <v>205</v>
      </c>
      <c r="P205" s="40"/>
      <c r="Q205" s="39"/>
    </row>
    <row r="206" spans="1:17" ht="12" customHeight="1" x14ac:dyDescent="0.3">
      <c r="A206" s="58" t="str">
        <v/>
      </c>
      <c r="B206" s="55" t="str">
        <v/>
      </c>
      <c r="C206" s="56">
        <v>244</v>
      </c>
      <c r="D206" s="68">
        <v>223</v>
      </c>
      <c r="E206" s="144"/>
      <c r="F206" s="120">
        <f t="shared" si="79"/>
        <v>0</v>
      </c>
      <c r="G206" s="57">
        <f t="shared" si="79"/>
        <v>0</v>
      </c>
      <c r="H206" s="121">
        <f t="shared" si="79"/>
        <v>0</v>
      </c>
      <c r="I206" s="70"/>
      <c r="J206" s="70"/>
      <c r="K206" s="70"/>
      <c r="L206" s="59"/>
      <c r="M206" s="59"/>
      <c r="N206" s="59"/>
      <c r="O206" s="39"/>
      <c r="P206" s="40"/>
      <c r="Q206" s="39"/>
    </row>
    <row r="207" spans="1:17" ht="12" customHeight="1" x14ac:dyDescent="0.3">
      <c r="A207" s="58" t="str">
        <v/>
      </c>
      <c r="B207" s="55" t="str">
        <v/>
      </c>
      <c r="C207" s="56">
        <v>244</v>
      </c>
      <c r="D207" s="68">
        <v>223</v>
      </c>
      <c r="E207" s="144"/>
      <c r="F207" s="120">
        <f t="shared" ref="F207" si="80">I207+L207</f>
        <v>0</v>
      </c>
      <c r="G207" s="57">
        <f t="shared" ref="G207" si="81">J207+M207</f>
        <v>0</v>
      </c>
      <c r="H207" s="121">
        <f t="shared" ref="H207" si="82">K207+N207</f>
        <v>0</v>
      </c>
      <c r="I207" s="70"/>
      <c r="J207" s="70"/>
      <c r="K207" s="70"/>
      <c r="L207" s="59"/>
      <c r="M207" s="59"/>
      <c r="N207" s="59"/>
      <c r="O207" s="39"/>
      <c r="P207" s="40"/>
      <c r="Q207" s="39"/>
    </row>
    <row r="208" spans="1:17" ht="12" customHeight="1" x14ac:dyDescent="0.3">
      <c r="A208" s="58" t="str">
        <f t="array" ref="A208:A209">IFERROR(INDEX(КБК!E4:E1045,SMALL(IF((($D$208=КБК!F4:F1045)*($C$208=КБК!G4:G1045)*(NOT(ISERR(SEARCH($O$1,КБК!D4:D1045))))),ROW(КБК!E4:E1045)-3,""),ROW()-$O$208+1)),"")</f>
        <v>доходы 0000000131.244.0</v>
      </c>
      <c r="B208" s="55" t="str">
        <f t="array" ref="B208:B209">IFERROR(INDEX(КБК!H4:H1045,SMALL(IF((($D$208=КБК!F4:F1045)*($C$208=КБК!G4:G1045)*(NOT(ISERR(SEARCH($O$1,КБК!D4:D1045))))),ROW(КБК!E4:E1045)-3,""),ROW()-$O$208+1)),"")</f>
        <v>1102</v>
      </c>
      <c r="C208" s="56">
        <v>244</v>
      </c>
      <c r="D208" s="68">
        <v>224</v>
      </c>
      <c r="E208" s="167"/>
      <c r="F208" s="120">
        <f t="shared" ref="F208:H209" si="83">I208+L208</f>
        <v>18000</v>
      </c>
      <c r="G208" s="57">
        <f t="shared" si="83"/>
        <v>18000</v>
      </c>
      <c r="H208" s="121">
        <f t="shared" si="83"/>
        <v>18000</v>
      </c>
      <c r="I208" s="70">
        <v>18000</v>
      </c>
      <c r="J208" s="70">
        <v>18000</v>
      </c>
      <c r="K208" s="70">
        <v>18000</v>
      </c>
      <c r="L208" s="59"/>
      <c r="M208" s="59"/>
      <c r="N208" s="59"/>
      <c r="O208" s="39">
        <f>ROW()</f>
        <v>208</v>
      </c>
      <c r="P208" s="40"/>
      <c r="Q208" s="39"/>
    </row>
    <row r="209" spans="1:17" ht="12" customHeight="1" x14ac:dyDescent="0.3">
      <c r="A209" s="58" t="str">
        <v/>
      </c>
      <c r="B209" s="55" t="str">
        <v/>
      </c>
      <c r="C209" s="56">
        <v>244</v>
      </c>
      <c r="D209" s="68">
        <v>224</v>
      </c>
      <c r="E209" s="167"/>
      <c r="F209" s="120">
        <f t="shared" si="83"/>
        <v>0</v>
      </c>
      <c r="G209" s="57">
        <f t="shared" si="83"/>
        <v>0</v>
      </c>
      <c r="H209" s="121">
        <f t="shared" si="83"/>
        <v>0</v>
      </c>
      <c r="I209" s="70"/>
      <c r="J209" s="70"/>
      <c r="K209" s="70"/>
      <c r="L209" s="59"/>
      <c r="M209" s="59"/>
      <c r="N209" s="59"/>
      <c r="O209" s="39"/>
      <c r="P209" s="40"/>
      <c r="Q209" s="39"/>
    </row>
    <row r="210" spans="1:17" ht="12" customHeight="1" x14ac:dyDescent="0.3">
      <c r="A210" s="58" t="str">
        <f t="array" ref="A210:A219">IFERROR(INDEX(КБК!E4:E1045,SMALL(IF((($D$210=КБК!F4:F1045)*($C$210=КБК!G4:G1045)*(NOT(ISERR(SEARCH($O$1,КБК!D4:D1045))))),ROW(КБК!E4:E1045)-3,""),ROW()-$O$210+1)),"")</f>
        <v>аренда 0000000121.244.0</v>
      </c>
      <c r="B210" s="55" t="str">
        <f t="array" ref="B210:B219">IFERROR(INDEX(КБК!H4:H1045,SMALL(IF((($D$210=КБК!F4:F1045)*($C$210=КБК!G4:G1045)*(NOT(ISERR(SEARCH($O$1,КБК!D4:D1045))))),ROW(КБК!E4:E1045)-3,""),ROW()-$O$210+1)),"")</f>
        <v>1102</v>
      </c>
      <c r="C210" s="56">
        <v>244</v>
      </c>
      <c r="D210" s="68">
        <v>225</v>
      </c>
      <c r="E210" s="144"/>
      <c r="F210" s="120">
        <f>I210+L210</f>
        <v>0</v>
      </c>
      <c r="G210" s="57">
        <f t="shared" ref="G210:H219" si="84">J210+M210</f>
        <v>0</v>
      </c>
      <c r="H210" s="121">
        <f t="shared" si="84"/>
        <v>0</v>
      </c>
      <c r="I210" s="70"/>
      <c r="J210" s="70"/>
      <c r="K210" s="70"/>
      <c r="L210" s="59"/>
      <c r="M210" s="59"/>
      <c r="N210" s="59"/>
      <c r="O210" s="39">
        <f>ROW()</f>
        <v>210</v>
      </c>
      <c r="P210" s="40"/>
      <c r="Q210" s="39"/>
    </row>
    <row r="211" spans="1:17" ht="12" customHeight="1" x14ac:dyDescent="0.3">
      <c r="A211" s="58" t="str">
        <v>доходы 0000000131.244.0</v>
      </c>
      <c r="B211" s="55" t="str">
        <v>1102</v>
      </c>
      <c r="C211" s="56">
        <v>244</v>
      </c>
      <c r="D211" s="68">
        <v>225</v>
      </c>
      <c r="E211" s="144"/>
      <c r="F211" s="120">
        <f t="shared" ref="F211:F219" si="85">I211+L211</f>
        <v>2000</v>
      </c>
      <c r="G211" s="57">
        <f t="shared" si="84"/>
        <v>2000</v>
      </c>
      <c r="H211" s="121">
        <f t="shared" si="84"/>
        <v>2000</v>
      </c>
      <c r="I211" s="70">
        <v>2000</v>
      </c>
      <c r="J211" s="70">
        <v>2000</v>
      </c>
      <c r="K211" s="70">
        <v>2000</v>
      </c>
      <c r="L211" s="59"/>
      <c r="M211" s="59"/>
      <c r="N211" s="59"/>
      <c r="O211" s="39"/>
      <c r="P211" s="40"/>
      <c r="Q211" s="39"/>
    </row>
    <row r="212" spans="1:17" ht="12" customHeight="1" x14ac:dyDescent="0.3">
      <c r="A212" s="58" t="str">
        <v>страховка 0000000143.244.0</v>
      </c>
      <c r="B212" s="55" t="str">
        <v>1102</v>
      </c>
      <c r="C212" s="56">
        <v>244</v>
      </c>
      <c r="D212" s="68">
        <v>225</v>
      </c>
      <c r="E212" s="144"/>
      <c r="F212" s="120">
        <f t="shared" si="85"/>
        <v>0</v>
      </c>
      <c r="G212" s="57">
        <f t="shared" si="84"/>
        <v>0</v>
      </c>
      <c r="H212" s="121">
        <f t="shared" si="84"/>
        <v>0</v>
      </c>
      <c r="I212" s="70"/>
      <c r="J212" s="70"/>
      <c r="K212" s="70"/>
      <c r="L212" s="59"/>
      <c r="M212" s="59"/>
      <c r="N212" s="59"/>
      <c r="O212" s="39"/>
      <c r="P212" s="40"/>
      <c r="Q212" s="39"/>
    </row>
    <row r="213" spans="1:17" ht="12" customHeight="1" x14ac:dyDescent="0.3">
      <c r="A213" s="58" t="str">
        <v>спонсор 0000000155.244.0</v>
      </c>
      <c r="B213" s="55" t="str">
        <v>1102</v>
      </c>
      <c r="C213" s="56">
        <v>244</v>
      </c>
      <c r="D213" s="68">
        <v>225</v>
      </c>
      <c r="E213" s="144"/>
      <c r="F213" s="120">
        <f t="shared" si="85"/>
        <v>0</v>
      </c>
      <c r="G213" s="57">
        <f t="shared" si="84"/>
        <v>0</v>
      </c>
      <c r="H213" s="121">
        <f t="shared" si="84"/>
        <v>0</v>
      </c>
      <c r="I213" s="70"/>
      <c r="J213" s="70"/>
      <c r="K213" s="70"/>
      <c r="L213" s="59"/>
      <c r="M213" s="59"/>
      <c r="N213" s="59"/>
      <c r="O213" s="39"/>
      <c r="P213" s="40"/>
      <c r="Q213" s="39"/>
    </row>
    <row r="214" spans="1:17" ht="12" customHeight="1" x14ac:dyDescent="0.3">
      <c r="A214" s="58" t="str">
        <v xml:space="preserve"> учащийся 0120823590.244.0</v>
      </c>
      <c r="B214" s="55" t="str">
        <v>0703</v>
      </c>
      <c r="C214" s="56">
        <v>244</v>
      </c>
      <c r="D214" s="68">
        <v>225</v>
      </c>
      <c r="E214" s="144"/>
      <c r="F214" s="120">
        <f t="shared" si="85"/>
        <v>0</v>
      </c>
      <c r="G214" s="57">
        <f t="shared" si="84"/>
        <v>0</v>
      </c>
      <c r="H214" s="121">
        <f t="shared" si="84"/>
        <v>0</v>
      </c>
      <c r="I214" s="70"/>
      <c r="J214" s="70"/>
      <c r="K214" s="70"/>
      <c r="L214" s="59"/>
      <c r="M214" s="59"/>
      <c r="N214" s="59"/>
      <c r="O214" s="39"/>
      <c r="P214" s="40"/>
      <c r="Q214" s="39"/>
    </row>
    <row r="215" spans="1:17" ht="12" customHeight="1" x14ac:dyDescent="0.3">
      <c r="A215" s="58" t="str">
        <v>спорт 1130387590.244.0</v>
      </c>
      <c r="B215" s="55" t="str">
        <v>1102</v>
      </c>
      <c r="C215" s="56">
        <v>244</v>
      </c>
      <c r="D215" s="68">
        <v>225</v>
      </c>
      <c r="E215" s="144"/>
      <c r="F215" s="120">
        <f t="shared" si="85"/>
        <v>747000</v>
      </c>
      <c r="G215" s="57">
        <f t="shared" si="84"/>
        <v>747000</v>
      </c>
      <c r="H215" s="121">
        <f t="shared" si="84"/>
        <v>747000</v>
      </c>
      <c r="I215" s="70">
        <v>747000</v>
      </c>
      <c r="J215" s="70">
        <v>747000</v>
      </c>
      <c r="K215" s="70">
        <v>747000</v>
      </c>
      <c r="L215" s="59"/>
      <c r="M215" s="59"/>
      <c r="N215" s="59"/>
      <c r="O215" s="39"/>
      <c r="P215" s="40"/>
      <c r="Q215" s="39"/>
    </row>
    <row r="216" spans="1:17" ht="12" customHeight="1" x14ac:dyDescent="0.3">
      <c r="A216" s="58" t="str">
        <v>поддержка 7770622000.244.0</v>
      </c>
      <c r="B216" s="55" t="str">
        <v>1102</v>
      </c>
      <c r="C216" s="56">
        <v>244</v>
      </c>
      <c r="D216" s="68">
        <v>225</v>
      </c>
      <c r="E216" s="144"/>
      <c r="F216" s="120">
        <f t="shared" si="85"/>
        <v>0</v>
      </c>
      <c r="G216" s="57">
        <f t="shared" si="84"/>
        <v>0</v>
      </c>
      <c r="H216" s="121">
        <f t="shared" si="84"/>
        <v>0</v>
      </c>
      <c r="I216" s="70"/>
      <c r="J216" s="70"/>
      <c r="K216" s="70"/>
      <c r="L216" s="59"/>
      <c r="M216" s="59"/>
      <c r="N216" s="59"/>
      <c r="O216" s="39"/>
      <c r="P216" s="40"/>
      <c r="Q216" s="39"/>
    </row>
    <row r="217" spans="1:17" ht="12" customHeight="1" x14ac:dyDescent="0.3">
      <c r="A217" s="58" t="str">
        <v/>
      </c>
      <c r="B217" s="55" t="str">
        <v/>
      </c>
      <c r="C217" s="56">
        <v>244</v>
      </c>
      <c r="D217" s="68">
        <v>225</v>
      </c>
      <c r="E217" s="144"/>
      <c r="F217" s="120">
        <f t="shared" si="85"/>
        <v>0</v>
      </c>
      <c r="G217" s="57">
        <f t="shared" si="84"/>
        <v>0</v>
      </c>
      <c r="H217" s="121">
        <f t="shared" si="84"/>
        <v>0</v>
      </c>
      <c r="I217" s="70"/>
      <c r="J217" s="70"/>
      <c r="K217" s="70"/>
      <c r="L217" s="59"/>
      <c r="M217" s="59"/>
      <c r="N217" s="59"/>
      <c r="O217" s="39"/>
      <c r="P217" s="40"/>
      <c r="Q217" s="39"/>
    </row>
    <row r="218" spans="1:17" ht="12" customHeight="1" x14ac:dyDescent="0.3">
      <c r="A218" s="58" t="str">
        <v/>
      </c>
      <c r="B218" s="55" t="str">
        <v/>
      </c>
      <c r="C218" s="56">
        <v>244</v>
      </c>
      <c r="D218" s="68">
        <v>225</v>
      </c>
      <c r="E218" s="144"/>
      <c r="F218" s="120">
        <f t="shared" si="85"/>
        <v>0</v>
      </c>
      <c r="G218" s="57">
        <f t="shared" si="84"/>
        <v>0</v>
      </c>
      <c r="H218" s="121">
        <f t="shared" si="84"/>
        <v>0</v>
      </c>
      <c r="I218" s="70"/>
      <c r="J218" s="70"/>
      <c r="K218" s="70"/>
      <c r="L218" s="59"/>
      <c r="M218" s="59"/>
      <c r="N218" s="59"/>
      <c r="O218" s="39"/>
      <c r="P218" s="40"/>
      <c r="Q218" s="39"/>
    </row>
    <row r="219" spans="1:17" ht="12" customHeight="1" x14ac:dyDescent="0.3">
      <c r="A219" s="58" t="str">
        <v/>
      </c>
      <c r="B219" s="55" t="str">
        <v/>
      </c>
      <c r="C219" s="56">
        <v>244</v>
      </c>
      <c r="D219" s="68">
        <v>225</v>
      </c>
      <c r="E219" s="144"/>
      <c r="F219" s="120">
        <f t="shared" si="85"/>
        <v>0</v>
      </c>
      <c r="G219" s="57">
        <f t="shared" si="84"/>
        <v>0</v>
      </c>
      <c r="H219" s="121">
        <f t="shared" si="84"/>
        <v>0</v>
      </c>
      <c r="I219" s="70"/>
      <c r="J219" s="70"/>
      <c r="K219" s="70"/>
      <c r="L219" s="59"/>
      <c r="M219" s="59"/>
      <c r="N219" s="59"/>
      <c r="O219" s="39"/>
      <c r="P219" s="40"/>
      <c r="Q219" s="39"/>
    </row>
    <row r="220" spans="1:17" ht="12" customHeight="1" x14ac:dyDescent="0.3">
      <c r="A220" s="58" t="str">
        <f t="array" ref="A220:A238">IFERROR(INDEX(КБК!E4:E1045,SMALL(IF((($D$220=КБК!F4:F1045)*($C$220=КБК!G4:G1045)*(NOT(ISERR(SEARCH($O$1,КБК!D4:D1045))))),ROW(КБК!E4:E1045)-3,""),ROW()-$O$220+1)),"")</f>
        <v>аренда 0000000121.244.0</v>
      </c>
      <c r="B220" s="55" t="str">
        <f t="array" ref="B220:B238">IFERROR(INDEX(КБК!H4:H1045,SMALL(IF((($D$220=КБК!F4:F1045)*($C$220=КБК!G4:G1045)*(NOT(ISERR(SEARCH($O$1,КБК!D4:D1045))))),ROW(КБК!E4:E1045)-3,""),ROW()-$O$220+1)),"")</f>
        <v>1102</v>
      </c>
      <c r="C220" s="56">
        <v>244</v>
      </c>
      <c r="D220" s="68">
        <v>226</v>
      </c>
      <c r="E220" s="167"/>
      <c r="F220" s="120">
        <f>I220+L220</f>
        <v>10000</v>
      </c>
      <c r="G220" s="57">
        <f>J220+M220</f>
        <v>10000</v>
      </c>
      <c r="H220" s="121">
        <f>K220+N220</f>
        <v>10000</v>
      </c>
      <c r="I220" s="70">
        <v>10000</v>
      </c>
      <c r="J220" s="70">
        <v>10000</v>
      </c>
      <c r="K220" s="70">
        <v>10000</v>
      </c>
      <c r="L220" s="59"/>
      <c r="M220" s="59"/>
      <c r="N220" s="59"/>
      <c r="O220" s="39">
        <f>ROW()</f>
        <v>220</v>
      </c>
      <c r="P220" s="40"/>
      <c r="Q220" s="39"/>
    </row>
    <row r="221" spans="1:17" ht="12" customHeight="1" x14ac:dyDescent="0.3">
      <c r="A221" s="58" t="str">
        <v>доходы 0000000131.244.0</v>
      </c>
      <c r="B221" s="55" t="str">
        <v>1102</v>
      </c>
      <c r="C221" s="56">
        <v>244</v>
      </c>
      <c r="D221" s="68">
        <v>226</v>
      </c>
      <c r="E221" s="167"/>
      <c r="F221" s="120">
        <f t="shared" ref="F221:F238" si="86">I221+L221</f>
        <v>17000</v>
      </c>
      <c r="G221" s="57">
        <f t="shared" ref="G221:G238" si="87">J221+M221</f>
        <v>17000</v>
      </c>
      <c r="H221" s="121">
        <f t="shared" ref="H221:H238" si="88">K221+N221</f>
        <v>17000</v>
      </c>
      <c r="I221" s="70">
        <v>17000</v>
      </c>
      <c r="J221" s="70">
        <v>17000</v>
      </c>
      <c r="K221" s="70">
        <v>17000</v>
      </c>
      <c r="L221" s="59"/>
      <c r="M221" s="59"/>
      <c r="N221" s="59"/>
      <c r="O221" s="39"/>
      <c r="P221" s="40"/>
      <c r="Q221" s="39"/>
    </row>
    <row r="222" spans="1:17" ht="12" customHeight="1" x14ac:dyDescent="0.3">
      <c r="A222" s="58" t="str">
        <v>спонсор 0000000155.244.0</v>
      </c>
      <c r="B222" s="55" t="str">
        <v>1102</v>
      </c>
      <c r="C222" s="56">
        <v>244</v>
      </c>
      <c r="D222" s="68">
        <v>226</v>
      </c>
      <c r="E222" s="167"/>
      <c r="F222" s="120">
        <f t="shared" si="86"/>
        <v>0</v>
      </c>
      <c r="G222" s="57">
        <f t="shared" si="87"/>
        <v>0</v>
      </c>
      <c r="H222" s="121">
        <f t="shared" si="88"/>
        <v>0</v>
      </c>
      <c r="I222" s="70"/>
      <c r="J222" s="70"/>
      <c r="K222" s="70"/>
      <c r="L222" s="59"/>
      <c r="M222" s="59"/>
      <c r="N222" s="59"/>
      <c r="O222" s="39"/>
      <c r="P222" s="40"/>
      <c r="Q222" s="39"/>
    </row>
    <row r="223" spans="1:17" ht="12" customHeight="1" x14ac:dyDescent="0.3">
      <c r="A223" s="58" t="str">
        <v xml:space="preserve"> учащийся 0120823590.244.0</v>
      </c>
      <c r="B223" s="55" t="str">
        <v>0703</v>
      </c>
      <c r="C223" s="56">
        <v>244</v>
      </c>
      <c r="D223" s="68">
        <v>226</v>
      </c>
      <c r="E223" s="167"/>
      <c r="F223" s="120">
        <f t="shared" si="86"/>
        <v>0</v>
      </c>
      <c r="G223" s="57">
        <f t="shared" si="87"/>
        <v>0</v>
      </c>
      <c r="H223" s="121">
        <f t="shared" si="88"/>
        <v>0</v>
      </c>
      <c r="I223" s="70"/>
      <c r="J223" s="70"/>
      <c r="K223" s="70"/>
      <c r="L223" s="59"/>
      <c r="M223" s="59"/>
      <c r="N223" s="59"/>
      <c r="O223" s="39"/>
      <c r="P223" s="40"/>
      <c r="Q223" s="39"/>
    </row>
    <row r="224" spans="1:17" ht="12" customHeight="1" x14ac:dyDescent="0.3">
      <c r="A224" s="58" t="str">
        <v>спорт 1130387590.244.0</v>
      </c>
      <c r="B224" s="55" t="str">
        <v>1102</v>
      </c>
      <c r="C224" s="56">
        <v>244</v>
      </c>
      <c r="D224" s="68">
        <v>226</v>
      </c>
      <c r="E224" s="167"/>
      <c r="F224" s="120">
        <f t="shared" si="86"/>
        <v>900000</v>
      </c>
      <c r="G224" s="57">
        <f t="shared" si="87"/>
        <v>900000</v>
      </c>
      <c r="H224" s="121">
        <f t="shared" si="88"/>
        <v>900000</v>
      </c>
      <c r="I224" s="70">
        <v>900000</v>
      </c>
      <c r="J224" s="70">
        <v>900000</v>
      </c>
      <c r="K224" s="70">
        <v>900000</v>
      </c>
      <c r="L224" s="59"/>
      <c r="M224" s="59"/>
      <c r="N224" s="59"/>
      <c r="O224" s="39"/>
      <c r="P224" s="40"/>
      <c r="Q224" s="39"/>
    </row>
    <row r="225" spans="1:17" ht="12" customHeight="1" x14ac:dyDescent="0.3">
      <c r="A225" s="58" t="str">
        <v>парк Покровский 2200274650.244.0</v>
      </c>
      <c r="B225" s="55" t="str">
        <v>0503</v>
      </c>
      <c r="C225" s="56">
        <v>244</v>
      </c>
      <c r="D225" s="68">
        <v>226</v>
      </c>
      <c r="E225" s="167"/>
      <c r="F225" s="120">
        <f t="shared" si="86"/>
        <v>0</v>
      </c>
      <c r="G225" s="57">
        <f t="shared" si="87"/>
        <v>0</v>
      </c>
      <c r="H225" s="121">
        <f t="shared" si="88"/>
        <v>0</v>
      </c>
      <c r="I225" s="70"/>
      <c r="J225" s="70"/>
      <c r="K225" s="70"/>
      <c r="L225" s="59"/>
      <c r="M225" s="59"/>
      <c r="N225" s="59"/>
      <c r="O225" s="39"/>
      <c r="P225" s="40"/>
      <c r="Q225" s="39"/>
    </row>
    <row r="226" spans="1:17" ht="12" customHeight="1" x14ac:dyDescent="0.3">
      <c r="A226" s="58" t="str">
        <v>комфорт 777F254240.244.0</v>
      </c>
      <c r="B226" s="55" t="str">
        <v>0505</v>
      </c>
      <c r="C226" s="56">
        <v>244</v>
      </c>
      <c r="D226" s="68">
        <v>226</v>
      </c>
      <c r="E226" s="167"/>
      <c r="F226" s="120">
        <f t="shared" si="86"/>
        <v>0</v>
      </c>
      <c r="G226" s="57">
        <f t="shared" si="87"/>
        <v>0</v>
      </c>
      <c r="H226" s="121">
        <f t="shared" si="88"/>
        <v>0</v>
      </c>
      <c r="I226" s="70"/>
      <c r="J226" s="70"/>
      <c r="K226" s="70"/>
      <c r="L226" s="59"/>
      <c r="M226" s="59"/>
      <c r="N226" s="59"/>
      <c r="O226" s="39"/>
      <c r="P226" s="40"/>
      <c r="Q226" s="39"/>
    </row>
    <row r="227" spans="1:17" ht="12" customHeight="1" x14ac:dyDescent="0.3">
      <c r="A227" s="58" t="str">
        <v/>
      </c>
      <c r="B227" s="55" t="str">
        <v/>
      </c>
      <c r="C227" s="56">
        <v>244</v>
      </c>
      <c r="D227" s="68">
        <v>226</v>
      </c>
      <c r="E227" s="167"/>
      <c r="F227" s="120">
        <f t="shared" si="86"/>
        <v>0</v>
      </c>
      <c r="G227" s="57">
        <f t="shared" si="87"/>
        <v>0</v>
      </c>
      <c r="H227" s="121">
        <f t="shared" si="88"/>
        <v>0</v>
      </c>
      <c r="I227" s="70"/>
      <c r="J227" s="70"/>
      <c r="K227" s="70"/>
      <c r="L227" s="59"/>
      <c r="M227" s="59"/>
      <c r="N227" s="59"/>
      <c r="O227" s="39"/>
      <c r="P227" s="40"/>
      <c r="Q227" s="39"/>
    </row>
    <row r="228" spans="1:17" ht="12" customHeight="1" x14ac:dyDescent="0.3">
      <c r="A228" s="58" t="str">
        <v/>
      </c>
      <c r="B228" s="55" t="str">
        <v/>
      </c>
      <c r="C228" s="56">
        <v>244</v>
      </c>
      <c r="D228" s="68">
        <v>226</v>
      </c>
      <c r="E228" s="167"/>
      <c r="F228" s="120">
        <f t="shared" si="86"/>
        <v>0</v>
      </c>
      <c r="G228" s="57">
        <f t="shared" si="87"/>
        <v>0</v>
      </c>
      <c r="H228" s="121">
        <f t="shared" si="88"/>
        <v>0</v>
      </c>
      <c r="I228" s="70"/>
      <c r="J228" s="70"/>
      <c r="K228" s="70"/>
      <c r="L228" s="59"/>
      <c r="M228" s="59"/>
      <c r="N228" s="59"/>
      <c r="O228" s="39"/>
      <c r="P228" s="40"/>
      <c r="Q228" s="39"/>
    </row>
    <row r="229" spans="1:17" ht="12" customHeight="1" x14ac:dyDescent="0.3">
      <c r="A229" s="58" t="str">
        <v/>
      </c>
      <c r="B229" s="55" t="str">
        <v/>
      </c>
      <c r="C229" s="56">
        <v>244</v>
      </c>
      <c r="D229" s="68">
        <v>226</v>
      </c>
      <c r="E229" s="167"/>
      <c r="F229" s="120">
        <f t="shared" si="86"/>
        <v>0</v>
      </c>
      <c r="G229" s="57">
        <f t="shared" si="87"/>
        <v>0</v>
      </c>
      <c r="H229" s="121">
        <f t="shared" si="88"/>
        <v>0</v>
      </c>
      <c r="I229" s="70"/>
      <c r="J229" s="70"/>
      <c r="K229" s="70"/>
      <c r="L229" s="59"/>
      <c r="M229" s="59"/>
      <c r="N229" s="59"/>
      <c r="O229" s="39"/>
      <c r="P229" s="40"/>
      <c r="Q229" s="39"/>
    </row>
    <row r="230" spans="1:17" ht="12" customHeight="1" x14ac:dyDescent="0.3">
      <c r="A230" s="58" t="str">
        <v/>
      </c>
      <c r="B230" s="55" t="str">
        <v/>
      </c>
      <c r="C230" s="56">
        <v>244</v>
      </c>
      <c r="D230" s="68">
        <v>226</v>
      </c>
      <c r="E230" s="167"/>
      <c r="F230" s="120">
        <f t="shared" si="86"/>
        <v>0</v>
      </c>
      <c r="G230" s="57">
        <f t="shared" si="87"/>
        <v>0</v>
      </c>
      <c r="H230" s="121">
        <f t="shared" si="88"/>
        <v>0</v>
      </c>
      <c r="I230" s="70"/>
      <c r="J230" s="70"/>
      <c r="K230" s="70"/>
      <c r="L230" s="59"/>
      <c r="M230" s="59"/>
      <c r="N230" s="59"/>
      <c r="O230" s="39"/>
      <c r="P230" s="40"/>
      <c r="Q230" s="39"/>
    </row>
    <row r="231" spans="1:17" ht="12" customHeight="1" x14ac:dyDescent="0.3">
      <c r="A231" s="58" t="str">
        <v/>
      </c>
      <c r="B231" s="55" t="str">
        <v/>
      </c>
      <c r="C231" s="56">
        <v>244</v>
      </c>
      <c r="D231" s="68">
        <v>226</v>
      </c>
      <c r="E231" s="167"/>
      <c r="F231" s="120">
        <f t="shared" si="86"/>
        <v>0</v>
      </c>
      <c r="G231" s="57">
        <f t="shared" si="87"/>
        <v>0</v>
      </c>
      <c r="H231" s="121">
        <f t="shared" si="88"/>
        <v>0</v>
      </c>
      <c r="I231" s="70"/>
      <c r="J231" s="70"/>
      <c r="K231" s="70"/>
      <c r="L231" s="59"/>
      <c r="M231" s="59"/>
      <c r="N231" s="59"/>
      <c r="O231" s="39"/>
      <c r="P231" s="40"/>
      <c r="Q231" s="39"/>
    </row>
    <row r="232" spans="1:17" ht="12" customHeight="1" x14ac:dyDescent="0.3">
      <c r="A232" s="58" t="str">
        <v/>
      </c>
      <c r="B232" s="55" t="str">
        <v/>
      </c>
      <c r="C232" s="56">
        <v>244</v>
      </c>
      <c r="D232" s="68">
        <v>226</v>
      </c>
      <c r="E232" s="167"/>
      <c r="F232" s="120">
        <f t="shared" si="86"/>
        <v>0</v>
      </c>
      <c r="G232" s="57">
        <f t="shared" si="87"/>
        <v>0</v>
      </c>
      <c r="H232" s="121">
        <f t="shared" si="88"/>
        <v>0</v>
      </c>
      <c r="I232" s="70"/>
      <c r="J232" s="70"/>
      <c r="K232" s="70"/>
      <c r="L232" s="59"/>
      <c r="M232" s="59"/>
      <c r="N232" s="59"/>
      <c r="O232" s="39"/>
      <c r="P232" s="40"/>
      <c r="Q232" s="39"/>
    </row>
    <row r="233" spans="1:17" ht="12" customHeight="1" x14ac:dyDescent="0.3">
      <c r="A233" s="58" t="str">
        <v/>
      </c>
      <c r="B233" s="55" t="str">
        <v/>
      </c>
      <c r="C233" s="56">
        <v>244</v>
      </c>
      <c r="D233" s="68">
        <v>226</v>
      </c>
      <c r="E233" s="167"/>
      <c r="F233" s="120">
        <f t="shared" si="86"/>
        <v>0</v>
      </c>
      <c r="G233" s="57">
        <f t="shared" si="87"/>
        <v>0</v>
      </c>
      <c r="H233" s="121">
        <f t="shared" si="88"/>
        <v>0</v>
      </c>
      <c r="I233" s="70"/>
      <c r="J233" s="70"/>
      <c r="K233" s="70"/>
      <c r="L233" s="59"/>
      <c r="M233" s="59"/>
      <c r="N233" s="59"/>
      <c r="O233" s="39"/>
      <c r="P233" s="40"/>
      <c r="Q233" s="39"/>
    </row>
    <row r="234" spans="1:17" ht="12" customHeight="1" x14ac:dyDescent="0.3">
      <c r="A234" s="58" t="str">
        <v/>
      </c>
      <c r="B234" s="55" t="str">
        <v/>
      </c>
      <c r="C234" s="56">
        <v>244</v>
      </c>
      <c r="D234" s="68">
        <v>226</v>
      </c>
      <c r="E234" s="167"/>
      <c r="F234" s="120">
        <f t="shared" si="86"/>
        <v>0</v>
      </c>
      <c r="G234" s="57">
        <f t="shared" si="87"/>
        <v>0</v>
      </c>
      <c r="H234" s="121">
        <f t="shared" si="88"/>
        <v>0</v>
      </c>
      <c r="I234" s="70"/>
      <c r="J234" s="70"/>
      <c r="K234" s="70"/>
      <c r="L234" s="59"/>
      <c r="M234" s="59"/>
      <c r="N234" s="59"/>
      <c r="O234" s="39"/>
      <c r="P234" s="40"/>
      <c r="Q234" s="39"/>
    </row>
    <row r="235" spans="1:17" ht="12" customHeight="1" x14ac:dyDescent="0.3">
      <c r="A235" s="58" t="str">
        <v/>
      </c>
      <c r="B235" s="55" t="str">
        <v/>
      </c>
      <c r="C235" s="56">
        <v>244</v>
      </c>
      <c r="D235" s="68">
        <v>226</v>
      </c>
      <c r="E235" s="167"/>
      <c r="F235" s="120">
        <f t="shared" si="86"/>
        <v>0</v>
      </c>
      <c r="G235" s="57">
        <f t="shared" si="87"/>
        <v>0</v>
      </c>
      <c r="H235" s="121">
        <f t="shared" si="88"/>
        <v>0</v>
      </c>
      <c r="I235" s="70"/>
      <c r="J235" s="70"/>
      <c r="K235" s="70"/>
      <c r="L235" s="59"/>
      <c r="M235" s="59"/>
      <c r="N235" s="59"/>
      <c r="O235" s="39"/>
      <c r="P235" s="40"/>
      <c r="Q235" s="39"/>
    </row>
    <row r="236" spans="1:17" ht="12" customHeight="1" x14ac:dyDescent="0.3">
      <c r="A236" s="58" t="str">
        <v/>
      </c>
      <c r="B236" s="55" t="str">
        <v/>
      </c>
      <c r="C236" s="56">
        <v>244</v>
      </c>
      <c r="D236" s="68">
        <v>226</v>
      </c>
      <c r="E236" s="167"/>
      <c r="F236" s="120">
        <f t="shared" si="86"/>
        <v>0</v>
      </c>
      <c r="G236" s="57">
        <f t="shared" si="87"/>
        <v>0</v>
      </c>
      <c r="H236" s="121">
        <f t="shared" si="88"/>
        <v>0</v>
      </c>
      <c r="I236" s="70"/>
      <c r="J236" s="70"/>
      <c r="K236" s="70"/>
      <c r="L236" s="59"/>
      <c r="M236" s="59"/>
      <c r="N236" s="59"/>
      <c r="O236" s="39"/>
      <c r="P236" s="40"/>
      <c r="Q236" s="39"/>
    </row>
    <row r="237" spans="1:17" ht="12" customHeight="1" x14ac:dyDescent="0.3">
      <c r="A237" s="58" t="str">
        <v/>
      </c>
      <c r="B237" s="55" t="str">
        <v/>
      </c>
      <c r="C237" s="56">
        <v>244</v>
      </c>
      <c r="D237" s="68">
        <v>226</v>
      </c>
      <c r="E237" s="167"/>
      <c r="F237" s="120">
        <f t="shared" si="86"/>
        <v>0</v>
      </c>
      <c r="G237" s="57">
        <f t="shared" si="87"/>
        <v>0</v>
      </c>
      <c r="H237" s="121">
        <f t="shared" si="88"/>
        <v>0</v>
      </c>
      <c r="I237" s="70"/>
      <c r="J237" s="70"/>
      <c r="K237" s="70"/>
      <c r="L237" s="59"/>
      <c r="M237" s="59"/>
      <c r="N237" s="59"/>
      <c r="O237" s="39"/>
      <c r="P237" s="40"/>
      <c r="Q237" s="39"/>
    </row>
    <row r="238" spans="1:17" ht="12" customHeight="1" x14ac:dyDescent="0.3">
      <c r="A238" s="58" t="str">
        <v/>
      </c>
      <c r="B238" s="55" t="str">
        <v/>
      </c>
      <c r="C238" s="56">
        <v>244</v>
      </c>
      <c r="D238" s="68">
        <v>226</v>
      </c>
      <c r="E238" s="167"/>
      <c r="F238" s="120">
        <f t="shared" si="86"/>
        <v>0</v>
      </c>
      <c r="G238" s="57">
        <f t="shared" si="87"/>
        <v>0</v>
      </c>
      <c r="H238" s="121">
        <f t="shared" si="88"/>
        <v>0</v>
      </c>
      <c r="I238" s="70"/>
      <c r="J238" s="70"/>
      <c r="K238" s="70"/>
      <c r="L238" s="59"/>
      <c r="M238" s="59"/>
      <c r="N238" s="59"/>
      <c r="O238" s="39"/>
      <c r="P238" s="40"/>
      <c r="Q238" s="39"/>
    </row>
    <row r="239" spans="1:17" ht="12" customHeight="1" x14ac:dyDescent="0.3">
      <c r="A239" s="58" t="str">
        <f t="array" ref="A239:A245">IFERROR(INDEX(КБК!E4:E1045,SMALL(IF((($D$239=КБК!F4:F1045)*($C$239=КБК!G4:G1045)*(NOT(ISERR(SEARCH($O$1,КБК!D4:D1045))))),ROW(КБК!E4:E1045)-3,""),ROW()-$O$239+1)),"")</f>
        <v>спорт 1130387590.244.0</v>
      </c>
      <c r="B239" s="55" t="str">
        <f t="array" ref="B239:B245">IFERROR(INDEX(КБК!H4:H1045,SMALL(IF((($D$239=КБК!F4:F1045)*($C$239=КБК!G4:G1045)*(NOT(ISERR(SEARCH($O$1,КБК!D4:D1045))))),ROW(КБК!E4:E1045)-3,""),ROW()-$O$239+1)),"")</f>
        <v>1102</v>
      </c>
      <c r="C239" s="56">
        <v>244</v>
      </c>
      <c r="D239" s="68">
        <v>227</v>
      </c>
      <c r="E239" s="144"/>
      <c r="F239" s="120">
        <f t="shared" ref="F239:H245" si="89">I239+L239</f>
        <v>45000</v>
      </c>
      <c r="G239" s="57">
        <f t="shared" si="89"/>
        <v>45000</v>
      </c>
      <c r="H239" s="121">
        <f t="shared" si="89"/>
        <v>45000</v>
      </c>
      <c r="I239" s="70">
        <v>45000</v>
      </c>
      <c r="J239" s="70">
        <v>45000</v>
      </c>
      <c r="K239" s="70">
        <v>45000</v>
      </c>
      <c r="L239" s="59"/>
      <c r="M239" s="59"/>
      <c r="N239" s="59"/>
      <c r="O239" s="39">
        <f>ROW()</f>
        <v>239</v>
      </c>
      <c r="P239" s="40"/>
      <c r="Q239" s="39"/>
    </row>
    <row r="240" spans="1:17" ht="12" customHeight="1" x14ac:dyDescent="0.3">
      <c r="A240" s="58" t="str">
        <v/>
      </c>
      <c r="B240" s="55" t="str">
        <v/>
      </c>
      <c r="C240" s="56">
        <v>244</v>
      </c>
      <c r="D240" s="68">
        <v>227</v>
      </c>
      <c r="E240" s="144"/>
      <c r="F240" s="120">
        <f t="shared" si="89"/>
        <v>0</v>
      </c>
      <c r="G240" s="57">
        <f t="shared" si="89"/>
        <v>0</v>
      </c>
      <c r="H240" s="121">
        <f t="shared" si="89"/>
        <v>0</v>
      </c>
      <c r="I240" s="70"/>
      <c r="J240" s="70"/>
      <c r="K240" s="70"/>
      <c r="L240" s="59"/>
      <c r="M240" s="59"/>
      <c r="N240" s="59"/>
      <c r="O240" s="39"/>
      <c r="P240" s="40"/>
      <c r="Q240" s="39"/>
    </row>
    <row r="241" spans="1:17" ht="12" customHeight="1" x14ac:dyDescent="0.3">
      <c r="A241" s="58" t="str">
        <v/>
      </c>
      <c r="B241" s="55" t="str">
        <v/>
      </c>
      <c r="C241" s="56">
        <v>244</v>
      </c>
      <c r="D241" s="68">
        <v>227</v>
      </c>
      <c r="E241" s="144"/>
      <c r="F241" s="120">
        <f t="shared" si="89"/>
        <v>0</v>
      </c>
      <c r="G241" s="73">
        <f t="shared" si="89"/>
        <v>0</v>
      </c>
      <c r="H241" s="121">
        <f t="shared" si="89"/>
        <v>0</v>
      </c>
      <c r="I241" s="70"/>
      <c r="J241" s="70"/>
      <c r="K241" s="70"/>
      <c r="L241" s="59"/>
      <c r="M241" s="59"/>
      <c r="N241" s="59"/>
      <c r="O241" s="39"/>
      <c r="P241" s="40"/>
      <c r="Q241" s="39"/>
    </row>
    <row r="242" spans="1:17" ht="12" customHeight="1" x14ac:dyDescent="0.3">
      <c r="A242" s="58" t="str">
        <v/>
      </c>
      <c r="B242" s="55" t="str">
        <v/>
      </c>
      <c r="C242" s="56">
        <v>244</v>
      </c>
      <c r="D242" s="68">
        <v>227</v>
      </c>
      <c r="E242" s="144"/>
      <c r="F242" s="120">
        <f t="shared" si="89"/>
        <v>0</v>
      </c>
      <c r="G242" s="73">
        <f t="shared" si="89"/>
        <v>0</v>
      </c>
      <c r="H242" s="121">
        <f t="shared" si="89"/>
        <v>0</v>
      </c>
      <c r="I242" s="70"/>
      <c r="J242" s="70"/>
      <c r="K242" s="70"/>
      <c r="L242" s="59"/>
      <c r="M242" s="59"/>
      <c r="N242" s="59"/>
      <c r="O242" s="39"/>
      <c r="P242" s="40"/>
      <c r="Q242" s="39"/>
    </row>
    <row r="243" spans="1:17" ht="12" customHeight="1" x14ac:dyDescent="0.3">
      <c r="A243" s="58" t="str">
        <v/>
      </c>
      <c r="B243" s="55" t="str">
        <v/>
      </c>
      <c r="C243" s="56">
        <v>244</v>
      </c>
      <c r="D243" s="68">
        <v>227</v>
      </c>
      <c r="E243" s="144"/>
      <c r="F243" s="120">
        <f t="shared" si="89"/>
        <v>0</v>
      </c>
      <c r="G243" s="73">
        <f t="shared" si="89"/>
        <v>0</v>
      </c>
      <c r="H243" s="121">
        <f t="shared" si="89"/>
        <v>0</v>
      </c>
      <c r="I243" s="70"/>
      <c r="J243" s="70"/>
      <c r="K243" s="70"/>
      <c r="L243" s="59"/>
      <c r="M243" s="59"/>
      <c r="N243" s="59"/>
      <c r="O243" s="39"/>
      <c r="P243" s="40"/>
      <c r="Q243" s="39"/>
    </row>
    <row r="244" spans="1:17" ht="12" customHeight="1" x14ac:dyDescent="0.3">
      <c r="A244" s="58" t="str">
        <v/>
      </c>
      <c r="B244" s="55" t="str">
        <v/>
      </c>
      <c r="C244" s="56">
        <v>244</v>
      </c>
      <c r="D244" s="68">
        <v>227</v>
      </c>
      <c r="E244" s="144"/>
      <c r="F244" s="120">
        <f t="shared" si="89"/>
        <v>0</v>
      </c>
      <c r="G244" s="73">
        <f t="shared" si="89"/>
        <v>0</v>
      </c>
      <c r="H244" s="121">
        <f t="shared" si="89"/>
        <v>0</v>
      </c>
      <c r="I244" s="70"/>
      <c r="J244" s="70"/>
      <c r="K244" s="70"/>
      <c r="L244" s="59"/>
      <c r="M244" s="59"/>
      <c r="N244" s="59"/>
      <c r="O244" s="39"/>
      <c r="P244" s="40"/>
      <c r="Q244" s="39"/>
    </row>
    <row r="245" spans="1:17" ht="12" customHeight="1" x14ac:dyDescent="0.3">
      <c r="A245" s="58" t="str">
        <v/>
      </c>
      <c r="B245" s="55" t="str">
        <v/>
      </c>
      <c r="C245" s="56">
        <v>244</v>
      </c>
      <c r="D245" s="68">
        <v>227</v>
      </c>
      <c r="E245" s="144"/>
      <c r="F245" s="120">
        <f t="shared" si="89"/>
        <v>0</v>
      </c>
      <c r="G245" s="73">
        <f t="shared" si="89"/>
        <v>0</v>
      </c>
      <c r="H245" s="121">
        <f t="shared" si="89"/>
        <v>0</v>
      </c>
      <c r="I245" s="70"/>
      <c r="J245" s="70"/>
      <c r="K245" s="70"/>
      <c r="L245" s="59"/>
      <c r="M245" s="59"/>
      <c r="N245" s="59"/>
      <c r="O245" s="39"/>
      <c r="P245" s="40"/>
      <c r="Q245" s="39"/>
    </row>
    <row r="246" spans="1:17" ht="12" customHeight="1" x14ac:dyDescent="0.3">
      <c r="A246" s="58" t="str">
        <f t="array" ref="A246:A248">IFERROR(INDEX(КБК!E4:E1045,SMALL(IF((($D$246=КБК!F4:F1045)*($C$246=КБК!G4:G1045)*(NOT(ISERR(SEARCH($O$1,КБК!D4:D1045))))),ROW(КБК!E4:E1045)-3,""),ROW()-$O$246+1)),"")</f>
        <v>доходы 0000000131.244.0</v>
      </c>
      <c r="B246" s="55" t="str">
        <f t="array" ref="B246:B248">IFERROR(INDEX(КБК!H4:H1045,SMALL(IF((($D$246=КБК!F4:F1045)*($C$246=КБК!G4:G1045)*(NOT(ISERR(SEARCH($O$1,КБК!D4:D1045))))),ROW(КБК!E4:E1045)-3,""),ROW()-$O$246+1)),"")</f>
        <v>1102</v>
      </c>
      <c r="C246" s="56">
        <v>244</v>
      </c>
      <c r="D246" s="68">
        <v>228</v>
      </c>
      <c r="E246" s="167"/>
      <c r="F246" s="120">
        <f t="shared" ref="F246:H248" si="90">I246+L246</f>
        <v>0</v>
      </c>
      <c r="G246" s="57">
        <f t="shared" si="90"/>
        <v>0</v>
      </c>
      <c r="H246" s="121">
        <f t="shared" si="90"/>
        <v>0</v>
      </c>
      <c r="I246" s="70"/>
      <c r="J246" s="70"/>
      <c r="K246" s="70"/>
      <c r="L246" s="59"/>
      <c r="M246" s="59"/>
      <c r="N246" s="59"/>
      <c r="O246" s="39">
        <f>ROW()</f>
        <v>246</v>
      </c>
      <c r="P246" s="40"/>
      <c r="Q246" s="39"/>
    </row>
    <row r="247" spans="1:17" ht="12" customHeight="1" x14ac:dyDescent="0.3">
      <c r="A247" s="58" t="str">
        <v>спорт 1130387590.244.0</v>
      </c>
      <c r="B247" s="55" t="str">
        <v>1102</v>
      </c>
      <c r="C247" s="56">
        <v>244</v>
      </c>
      <c r="D247" s="68">
        <v>228</v>
      </c>
      <c r="E247" s="167"/>
      <c r="F247" s="120">
        <f t="shared" si="90"/>
        <v>0</v>
      </c>
      <c r="G247" s="57">
        <f t="shared" si="90"/>
        <v>0</v>
      </c>
      <c r="H247" s="121">
        <f t="shared" si="90"/>
        <v>0</v>
      </c>
      <c r="I247" s="70"/>
      <c r="J247" s="70"/>
      <c r="K247" s="70"/>
      <c r="L247" s="59"/>
      <c r="M247" s="59"/>
      <c r="N247" s="59"/>
      <c r="O247" s="39"/>
      <c r="P247" s="40"/>
      <c r="Q247" s="39"/>
    </row>
    <row r="248" spans="1:17" ht="12" customHeight="1" x14ac:dyDescent="0.3">
      <c r="A248" s="58" t="str">
        <v/>
      </c>
      <c r="B248" s="55" t="str">
        <v/>
      </c>
      <c r="C248" s="56">
        <v>244</v>
      </c>
      <c r="D248" s="68">
        <v>228</v>
      </c>
      <c r="E248" s="167"/>
      <c r="F248" s="120">
        <f t="shared" si="90"/>
        <v>0</v>
      </c>
      <c r="G248" s="57">
        <f t="shared" si="90"/>
        <v>0</v>
      </c>
      <c r="H248" s="121">
        <f t="shared" si="90"/>
        <v>0</v>
      </c>
      <c r="I248" s="70"/>
      <c r="J248" s="70"/>
      <c r="K248" s="70"/>
      <c r="L248" s="59"/>
      <c r="M248" s="59"/>
      <c r="N248" s="59"/>
      <c r="O248" s="39"/>
      <c r="P248" s="40"/>
      <c r="Q248" s="39"/>
    </row>
    <row r="249" spans="1:17" ht="12" customHeight="1" x14ac:dyDescent="0.3">
      <c r="A249" s="58" t="str">
        <f t="array" ref="A249:A261">IFERROR(INDEX(КБК!E4:E1045,SMALL(IF((($D$249=КБК!F4:F1045)*($C$249=КБК!G4:G1045)*(NOT(ISERR(SEARCH($O$1,КБК!D4:D1045))))),ROW(КБК!E4:E1045)-3,""),ROW()-$O$249+1)),"")</f>
        <v>аренда 0000000121.244.0</v>
      </c>
      <c r="B249" s="55" t="str">
        <f t="array" ref="B249:B261">IFERROR(INDEX(КБК!H4:H1045,SMALL(IF((($D$249=КБК!F4:F1045)*($C$249=КБК!G4:G1045)*(NOT(ISERR(SEARCH($O$1,КБК!D4:D1045))))),ROW(КБК!E4:E1045)-3,""),ROW()-$O$249+1)),"")</f>
        <v>1102</v>
      </c>
      <c r="C249" s="56">
        <v>244</v>
      </c>
      <c r="D249" s="68">
        <v>310</v>
      </c>
      <c r="E249" s="144"/>
      <c r="F249" s="120">
        <f>I249+L249</f>
        <v>0</v>
      </c>
      <c r="G249" s="57">
        <f t="shared" ref="G249:H261" si="91">J249+M249</f>
        <v>0</v>
      </c>
      <c r="H249" s="121">
        <f t="shared" si="91"/>
        <v>0</v>
      </c>
      <c r="I249" s="70"/>
      <c r="J249" s="70"/>
      <c r="K249" s="70"/>
      <c r="L249" s="59"/>
      <c r="M249" s="59"/>
      <c r="N249" s="59"/>
      <c r="O249" s="39">
        <f>ROW()</f>
        <v>249</v>
      </c>
      <c r="P249" s="40"/>
      <c r="Q249" s="39"/>
    </row>
    <row r="250" spans="1:17" ht="12" customHeight="1" x14ac:dyDescent="0.3">
      <c r="A250" s="58" t="str">
        <v>доходы 0000000131.244.0</v>
      </c>
      <c r="B250" s="55" t="str">
        <v>1102</v>
      </c>
      <c r="C250" s="56">
        <v>244</v>
      </c>
      <c r="D250" s="68">
        <v>310</v>
      </c>
      <c r="E250" s="144"/>
      <c r="F250" s="120">
        <f t="shared" ref="F250:F261" si="92">I250+L250</f>
        <v>0</v>
      </c>
      <c r="G250" s="57">
        <f t="shared" si="91"/>
        <v>0</v>
      </c>
      <c r="H250" s="121">
        <f t="shared" si="91"/>
        <v>0</v>
      </c>
      <c r="I250" s="70"/>
      <c r="J250" s="70"/>
      <c r="K250" s="70"/>
      <c r="L250" s="59"/>
      <c r="M250" s="59"/>
      <c r="N250" s="59"/>
      <c r="O250" s="39"/>
      <c r="P250" s="40"/>
      <c r="Q250" s="39"/>
    </row>
    <row r="251" spans="1:17" ht="12" customHeight="1" x14ac:dyDescent="0.3">
      <c r="A251" s="58" t="str">
        <v>спонсор 0000000155.244.0</v>
      </c>
      <c r="B251" s="55" t="str">
        <v>1102</v>
      </c>
      <c r="C251" s="56">
        <v>244</v>
      </c>
      <c r="D251" s="68">
        <v>310</v>
      </c>
      <c r="E251" s="144"/>
      <c r="F251" s="120">
        <f t="shared" si="92"/>
        <v>0</v>
      </c>
      <c r="G251" s="57">
        <f t="shared" si="91"/>
        <v>0</v>
      </c>
      <c r="H251" s="121">
        <f t="shared" si="91"/>
        <v>0</v>
      </c>
      <c r="I251" s="70"/>
      <c r="J251" s="70"/>
      <c r="K251" s="70"/>
      <c r="L251" s="59"/>
      <c r="M251" s="59"/>
      <c r="N251" s="59"/>
      <c r="O251" s="39"/>
      <c r="P251" s="40"/>
      <c r="Q251" s="39"/>
    </row>
    <row r="252" spans="1:17" ht="12" customHeight="1" x14ac:dyDescent="0.3">
      <c r="A252" s="58" t="str">
        <v xml:space="preserve"> учащийся 0120823590.244.0</v>
      </c>
      <c r="B252" s="55" t="str">
        <v>0703</v>
      </c>
      <c r="C252" s="56">
        <v>244</v>
      </c>
      <c r="D252" s="68">
        <v>310</v>
      </c>
      <c r="E252" s="144"/>
      <c r="F252" s="120">
        <f t="shared" si="92"/>
        <v>0</v>
      </c>
      <c r="G252" s="57">
        <f t="shared" si="91"/>
        <v>0</v>
      </c>
      <c r="H252" s="121">
        <f t="shared" si="91"/>
        <v>0</v>
      </c>
      <c r="I252" s="70"/>
      <c r="J252" s="70"/>
      <c r="K252" s="70"/>
      <c r="L252" s="59"/>
      <c r="M252" s="59"/>
      <c r="N252" s="59"/>
      <c r="O252" s="39"/>
      <c r="P252" s="40"/>
      <c r="Q252" s="39"/>
    </row>
    <row r="253" spans="1:17" ht="12" customHeight="1" x14ac:dyDescent="0.3">
      <c r="A253" s="58" t="str">
        <v>спорт 1130387590.244.0</v>
      </c>
      <c r="B253" s="55" t="str">
        <v>1102</v>
      </c>
      <c r="C253" s="56">
        <v>244</v>
      </c>
      <c r="D253" s="68">
        <v>310</v>
      </c>
      <c r="E253" s="144"/>
      <c r="F253" s="120">
        <f t="shared" si="92"/>
        <v>450000</v>
      </c>
      <c r="G253" s="57">
        <f t="shared" si="91"/>
        <v>450000</v>
      </c>
      <c r="H253" s="121">
        <f t="shared" si="91"/>
        <v>450000</v>
      </c>
      <c r="I253" s="70">
        <v>450000</v>
      </c>
      <c r="J253" s="70">
        <v>450000</v>
      </c>
      <c r="K253" s="70">
        <v>450000</v>
      </c>
      <c r="L253" s="59"/>
      <c r="M253" s="59"/>
      <c r="N253" s="59"/>
      <c r="O253" s="39"/>
      <c r="P253" s="40"/>
      <c r="Q253" s="39"/>
    </row>
    <row r="254" spans="1:17" ht="12" customHeight="1" x14ac:dyDescent="0.3">
      <c r="A254" s="58" t="str">
        <v>двор.практика 0160425170.244.0</v>
      </c>
      <c r="B254" s="55" t="str">
        <v>0707</v>
      </c>
      <c r="C254" s="56">
        <v>244</v>
      </c>
      <c r="D254" s="68">
        <v>310</v>
      </c>
      <c r="E254" s="144"/>
      <c r="F254" s="120">
        <f t="shared" si="92"/>
        <v>0</v>
      </c>
      <c r="G254" s="57">
        <f t="shared" si="91"/>
        <v>0</v>
      </c>
      <c r="H254" s="121">
        <f t="shared" si="91"/>
        <v>0</v>
      </c>
      <c r="I254" s="70"/>
      <c r="J254" s="70"/>
      <c r="K254" s="70"/>
      <c r="L254" s="59"/>
      <c r="M254" s="59"/>
      <c r="N254" s="59"/>
      <c r="O254" s="39"/>
      <c r="P254" s="40"/>
      <c r="Q254" s="39"/>
    </row>
    <row r="255" spans="1:17" ht="12" customHeight="1" x14ac:dyDescent="0.3">
      <c r="A255" s="58" t="str">
        <v/>
      </c>
      <c r="B255" s="55" t="str">
        <v/>
      </c>
      <c r="C255" s="56">
        <v>244</v>
      </c>
      <c r="D255" s="68">
        <v>310</v>
      </c>
      <c r="E255" s="144"/>
      <c r="F255" s="120">
        <f t="shared" si="92"/>
        <v>0</v>
      </c>
      <c r="G255" s="57">
        <f t="shared" si="91"/>
        <v>0</v>
      </c>
      <c r="H255" s="121">
        <f t="shared" si="91"/>
        <v>0</v>
      </c>
      <c r="I255" s="70"/>
      <c r="J255" s="70"/>
      <c r="K255" s="70"/>
      <c r="L255" s="59"/>
      <c r="M255" s="59"/>
      <c r="N255" s="59"/>
      <c r="O255" s="39"/>
      <c r="P255" s="40"/>
      <c r="Q255" s="39"/>
    </row>
    <row r="256" spans="1:17" ht="12" customHeight="1" x14ac:dyDescent="0.3">
      <c r="A256" s="58" t="str">
        <v/>
      </c>
      <c r="B256" s="55" t="str">
        <v/>
      </c>
      <c r="C256" s="56">
        <v>244</v>
      </c>
      <c r="D256" s="68">
        <v>310</v>
      </c>
      <c r="E256" s="144"/>
      <c r="F256" s="120">
        <f t="shared" si="92"/>
        <v>0</v>
      </c>
      <c r="G256" s="57">
        <f t="shared" si="91"/>
        <v>0</v>
      </c>
      <c r="H256" s="121">
        <f t="shared" si="91"/>
        <v>0</v>
      </c>
      <c r="I256" s="70"/>
      <c r="J256" s="70"/>
      <c r="K256" s="70"/>
      <c r="L256" s="59"/>
      <c r="M256" s="59"/>
      <c r="N256" s="59"/>
      <c r="O256" s="39"/>
      <c r="P256" s="40"/>
      <c r="Q256" s="39"/>
    </row>
    <row r="257" spans="1:17" ht="12" customHeight="1" x14ac:dyDescent="0.3">
      <c r="A257" s="58" t="str">
        <v/>
      </c>
      <c r="B257" s="55" t="str">
        <v/>
      </c>
      <c r="C257" s="56">
        <v>244</v>
      </c>
      <c r="D257" s="68">
        <v>310</v>
      </c>
      <c r="E257" s="144"/>
      <c r="F257" s="120">
        <f t="shared" si="92"/>
        <v>0</v>
      </c>
      <c r="G257" s="57">
        <f t="shared" si="91"/>
        <v>0</v>
      </c>
      <c r="H257" s="121">
        <f t="shared" si="91"/>
        <v>0</v>
      </c>
      <c r="I257" s="70"/>
      <c r="J257" s="70"/>
      <c r="K257" s="70"/>
      <c r="L257" s="59"/>
      <c r="M257" s="59"/>
      <c r="N257" s="59"/>
      <c r="O257" s="39"/>
      <c r="P257" s="40"/>
      <c r="Q257" s="39"/>
    </row>
    <row r="258" spans="1:17" ht="12" customHeight="1" x14ac:dyDescent="0.3">
      <c r="A258" s="58" t="str">
        <v/>
      </c>
      <c r="B258" s="55" t="str">
        <v/>
      </c>
      <c r="C258" s="56">
        <v>244</v>
      </c>
      <c r="D258" s="68">
        <v>310</v>
      </c>
      <c r="E258" s="144"/>
      <c r="F258" s="120">
        <f t="shared" si="92"/>
        <v>0</v>
      </c>
      <c r="G258" s="57">
        <f t="shared" si="91"/>
        <v>0</v>
      </c>
      <c r="H258" s="121">
        <f t="shared" si="91"/>
        <v>0</v>
      </c>
      <c r="I258" s="70"/>
      <c r="J258" s="70"/>
      <c r="K258" s="70"/>
      <c r="L258" s="59"/>
      <c r="M258" s="59"/>
      <c r="N258" s="59"/>
      <c r="O258" s="39"/>
      <c r="P258" s="40"/>
      <c r="Q258" s="39"/>
    </row>
    <row r="259" spans="1:17" ht="12" customHeight="1" x14ac:dyDescent="0.3">
      <c r="A259" s="58" t="str">
        <v/>
      </c>
      <c r="B259" s="55" t="str">
        <v/>
      </c>
      <c r="C259" s="56">
        <v>244</v>
      </c>
      <c r="D259" s="68">
        <v>310</v>
      </c>
      <c r="E259" s="144"/>
      <c r="F259" s="120">
        <f t="shared" si="92"/>
        <v>0</v>
      </c>
      <c r="G259" s="57">
        <f t="shared" si="91"/>
        <v>0</v>
      </c>
      <c r="H259" s="121">
        <f t="shared" si="91"/>
        <v>0</v>
      </c>
      <c r="I259" s="70"/>
      <c r="J259" s="70"/>
      <c r="K259" s="70"/>
      <c r="L259" s="59"/>
      <c r="M259" s="59"/>
      <c r="N259" s="59"/>
      <c r="O259" s="39"/>
      <c r="P259" s="40"/>
      <c r="Q259" s="39"/>
    </row>
    <row r="260" spans="1:17" ht="12" customHeight="1" x14ac:dyDescent="0.3">
      <c r="A260" s="58" t="str">
        <v/>
      </c>
      <c r="B260" s="55" t="str">
        <v/>
      </c>
      <c r="C260" s="56">
        <v>244</v>
      </c>
      <c r="D260" s="68">
        <v>310</v>
      </c>
      <c r="E260" s="144"/>
      <c r="F260" s="120">
        <f t="shared" si="92"/>
        <v>0</v>
      </c>
      <c r="G260" s="57">
        <f t="shared" si="91"/>
        <v>0</v>
      </c>
      <c r="H260" s="121">
        <f t="shared" si="91"/>
        <v>0</v>
      </c>
      <c r="I260" s="70"/>
      <c r="J260" s="70"/>
      <c r="K260" s="70"/>
      <c r="L260" s="59"/>
      <c r="M260" s="59"/>
      <c r="N260" s="59"/>
      <c r="O260" s="39"/>
      <c r="P260" s="40"/>
      <c r="Q260" s="39"/>
    </row>
    <row r="261" spans="1:17" ht="12" customHeight="1" x14ac:dyDescent="0.3">
      <c r="A261" s="58" t="str">
        <v/>
      </c>
      <c r="B261" s="55" t="str">
        <v/>
      </c>
      <c r="C261" s="56">
        <v>244</v>
      </c>
      <c r="D261" s="68">
        <v>310</v>
      </c>
      <c r="E261" s="144"/>
      <c r="F261" s="120">
        <f t="shared" si="92"/>
        <v>0</v>
      </c>
      <c r="G261" s="57">
        <f t="shared" si="91"/>
        <v>0</v>
      </c>
      <c r="H261" s="121">
        <f t="shared" si="91"/>
        <v>0</v>
      </c>
      <c r="I261" s="70"/>
      <c r="J261" s="70"/>
      <c r="K261" s="70"/>
      <c r="L261" s="59"/>
      <c r="M261" s="59"/>
      <c r="N261" s="59"/>
      <c r="O261" s="39"/>
      <c r="P261" s="40"/>
      <c r="Q261" s="39"/>
    </row>
    <row r="262" spans="1:17" ht="12" customHeight="1" x14ac:dyDescent="0.3">
      <c r="A262" s="58" t="str">
        <f t="array" ref="A262:A268">IFERROR(INDEX(КБК!E4:E1045,SMALL(IF((($D$262=КБК!F4:F1045)*($C$262=КБК!G4:G1045)*(NOT(ISERR(SEARCH($O$1,КБК!D4:D1045))))),ROW(КБК!E4:E1045)-3,""),ROW()-$O$262+1)),"")</f>
        <v>спорт 1130387590.244.0</v>
      </c>
      <c r="B262" s="55" t="str">
        <f t="array" ref="B262:B268">IFERROR(INDEX(КБК!H4:H1045,SMALL(IF((($D$262=КБК!F4:F1045)*($C$262=КБК!G4:G1045)*(NOT(ISERR(SEARCH($O$1,КБК!D4:D1045))))),ROW(КБК!E4:E1045)-3,""),ROW()-$O$262+1)),"")</f>
        <v>1102</v>
      </c>
      <c r="C262" s="56">
        <v>244</v>
      </c>
      <c r="D262" s="68">
        <v>341</v>
      </c>
      <c r="E262" s="167"/>
      <c r="F262" s="120">
        <f t="shared" ref="F262:F277" si="93">I262+L262</f>
        <v>31500</v>
      </c>
      <c r="G262" s="57">
        <f t="shared" ref="G262:H268" si="94">J262+M262</f>
        <v>31500</v>
      </c>
      <c r="H262" s="121">
        <f t="shared" si="94"/>
        <v>31500</v>
      </c>
      <c r="I262" s="70">
        <v>31500</v>
      </c>
      <c r="J262" s="70">
        <v>31500</v>
      </c>
      <c r="K262" s="70">
        <v>31500</v>
      </c>
      <c r="L262" s="59"/>
      <c r="M262" s="59"/>
      <c r="N262" s="59"/>
      <c r="O262" s="39">
        <f>ROW()</f>
        <v>262</v>
      </c>
      <c r="P262" s="40"/>
      <c r="Q262" s="39"/>
    </row>
    <row r="263" spans="1:17" ht="12" customHeight="1" x14ac:dyDescent="0.3">
      <c r="A263" s="58" t="str">
        <v>двор.практика 0160425170.244.0</v>
      </c>
      <c r="B263" s="55" t="str">
        <v>0707</v>
      </c>
      <c r="C263" s="56">
        <v>244</v>
      </c>
      <c r="D263" s="68">
        <v>341</v>
      </c>
      <c r="E263" s="167"/>
      <c r="F263" s="120">
        <f t="shared" si="93"/>
        <v>0</v>
      </c>
      <c r="G263" s="57">
        <f t="shared" si="94"/>
        <v>0</v>
      </c>
      <c r="H263" s="121">
        <f t="shared" si="94"/>
        <v>0</v>
      </c>
      <c r="I263" s="70"/>
      <c r="J263" s="70"/>
      <c r="K263" s="70"/>
      <c r="L263" s="59"/>
      <c r="M263" s="59"/>
      <c r="N263" s="59"/>
      <c r="O263" s="39"/>
      <c r="P263" s="40"/>
      <c r="Q263" s="39"/>
    </row>
    <row r="264" spans="1:17" ht="12" customHeight="1" x14ac:dyDescent="0.3">
      <c r="A264" s="58" t="str">
        <v/>
      </c>
      <c r="B264" s="55" t="str">
        <v/>
      </c>
      <c r="C264" s="56">
        <v>244</v>
      </c>
      <c r="D264" s="68">
        <v>341</v>
      </c>
      <c r="E264" s="167"/>
      <c r="F264" s="120">
        <f t="shared" si="93"/>
        <v>0</v>
      </c>
      <c r="G264" s="57">
        <f t="shared" si="94"/>
        <v>0</v>
      </c>
      <c r="H264" s="121">
        <f t="shared" si="94"/>
        <v>0</v>
      </c>
      <c r="I264" s="70"/>
      <c r="J264" s="70"/>
      <c r="K264" s="70"/>
      <c r="L264" s="59"/>
      <c r="M264" s="59"/>
      <c r="N264" s="59"/>
      <c r="O264" s="39"/>
      <c r="P264" s="40"/>
      <c r="Q264" s="39"/>
    </row>
    <row r="265" spans="1:17" ht="12" customHeight="1" x14ac:dyDescent="0.3">
      <c r="A265" s="58" t="str">
        <v/>
      </c>
      <c r="B265" s="55" t="str">
        <v/>
      </c>
      <c r="C265" s="56">
        <v>244</v>
      </c>
      <c r="D265" s="68">
        <v>341</v>
      </c>
      <c r="E265" s="167"/>
      <c r="F265" s="120">
        <f t="shared" si="93"/>
        <v>0</v>
      </c>
      <c r="G265" s="57">
        <f t="shared" si="94"/>
        <v>0</v>
      </c>
      <c r="H265" s="121">
        <f t="shared" si="94"/>
        <v>0</v>
      </c>
      <c r="I265" s="70"/>
      <c r="J265" s="70"/>
      <c r="K265" s="70"/>
      <c r="L265" s="59"/>
      <c r="M265" s="59"/>
      <c r="N265" s="59"/>
      <c r="O265" s="39"/>
      <c r="P265" s="40"/>
      <c r="Q265" s="39"/>
    </row>
    <row r="266" spans="1:17" ht="12" customHeight="1" x14ac:dyDescent="0.3">
      <c r="A266" s="58" t="str">
        <v/>
      </c>
      <c r="B266" s="55" t="str">
        <v/>
      </c>
      <c r="C266" s="56">
        <v>244</v>
      </c>
      <c r="D266" s="68">
        <v>341</v>
      </c>
      <c r="E266" s="167"/>
      <c r="F266" s="120">
        <f t="shared" si="93"/>
        <v>0</v>
      </c>
      <c r="G266" s="57">
        <f t="shared" si="94"/>
        <v>0</v>
      </c>
      <c r="H266" s="121">
        <f t="shared" si="94"/>
        <v>0</v>
      </c>
      <c r="I266" s="70"/>
      <c r="J266" s="70"/>
      <c r="K266" s="70"/>
      <c r="L266" s="59"/>
      <c r="M266" s="59"/>
      <c r="N266" s="59"/>
      <c r="O266" s="39"/>
      <c r="P266" s="40"/>
      <c r="Q266" s="39"/>
    </row>
    <row r="267" spans="1:17" ht="12" customHeight="1" x14ac:dyDescent="0.3">
      <c r="A267" s="58" t="str">
        <v/>
      </c>
      <c r="B267" s="55" t="str">
        <v/>
      </c>
      <c r="C267" s="56">
        <v>244</v>
      </c>
      <c r="D267" s="68">
        <v>341</v>
      </c>
      <c r="E267" s="167"/>
      <c r="F267" s="120">
        <f t="shared" si="93"/>
        <v>0</v>
      </c>
      <c r="G267" s="57">
        <f t="shared" si="94"/>
        <v>0</v>
      </c>
      <c r="H267" s="121">
        <f t="shared" si="94"/>
        <v>0</v>
      </c>
      <c r="I267" s="70"/>
      <c r="J267" s="70"/>
      <c r="K267" s="70"/>
      <c r="L267" s="59"/>
      <c r="M267" s="59"/>
      <c r="N267" s="59"/>
      <c r="O267" s="39"/>
      <c r="P267" s="40"/>
      <c r="Q267" s="39"/>
    </row>
    <row r="268" spans="1:17" ht="12" customHeight="1" x14ac:dyDescent="0.3">
      <c r="A268" s="58" t="str">
        <v/>
      </c>
      <c r="B268" s="55" t="str">
        <v/>
      </c>
      <c r="C268" s="56">
        <v>244</v>
      </c>
      <c r="D268" s="68">
        <v>341</v>
      </c>
      <c r="E268" s="167"/>
      <c r="F268" s="120">
        <f t="shared" si="93"/>
        <v>0</v>
      </c>
      <c r="G268" s="57">
        <f t="shared" si="94"/>
        <v>0</v>
      </c>
      <c r="H268" s="121">
        <f t="shared" si="94"/>
        <v>0</v>
      </c>
      <c r="I268" s="70"/>
      <c r="J268" s="70"/>
      <c r="K268" s="70"/>
      <c r="L268" s="59"/>
      <c r="M268" s="59"/>
      <c r="N268" s="59"/>
      <c r="O268" s="39"/>
      <c r="P268" s="40"/>
      <c r="Q268" s="39"/>
    </row>
    <row r="269" spans="1:17" ht="12" customHeight="1" x14ac:dyDescent="0.3">
      <c r="A269" s="58" t="str">
        <f t="array" ref="A269:A276">IFERROR(INDEX(КБК!E4:E1045,SMALL(IF((($D$269=КБК!F4:F1045)*($C$269=КБК!G4:G1045)*(NOT(ISERR(SEARCH($O$1,КБК!D4:D1045))))),ROW(КБК!E4:E1045)-3,""),ROW()-$O$269+1)),"")</f>
        <v>доходы 0000000131.244.0</v>
      </c>
      <c r="B269" s="55" t="str">
        <f t="array" ref="B269:B276">IFERROR(INDEX(КБК!H4:H1045,SMALL(IF((($D$269=КБК!F4:F1045)*($C$269=КБК!G4:G1045)*(NOT(ISERR(SEARCH($O$1,КБК!D4:D1045))))),ROW(КБК!E4:E1045)-3,""),ROW()-$O$269+1)),"")</f>
        <v>1102</v>
      </c>
      <c r="C269" s="56">
        <v>244</v>
      </c>
      <c r="D269" s="68">
        <v>342</v>
      </c>
      <c r="E269" s="144"/>
      <c r="F269" s="120">
        <f t="shared" si="93"/>
        <v>30000</v>
      </c>
      <c r="G269" s="57">
        <f t="shared" ref="G269:H276" si="95">J269+M269</f>
        <v>30000</v>
      </c>
      <c r="H269" s="121">
        <f t="shared" si="95"/>
        <v>30000</v>
      </c>
      <c r="I269" s="70">
        <v>30000</v>
      </c>
      <c r="J269" s="70">
        <v>30000</v>
      </c>
      <c r="K269" s="70">
        <v>30000</v>
      </c>
      <c r="L269" s="59"/>
      <c r="M269" s="59"/>
      <c r="N269" s="59"/>
      <c r="O269" s="39">
        <f>ROW()</f>
        <v>269</v>
      </c>
      <c r="P269" s="40"/>
      <c r="Q269" s="39"/>
    </row>
    <row r="270" spans="1:17" ht="12" customHeight="1" x14ac:dyDescent="0.3">
      <c r="A270" s="58" t="str">
        <v/>
      </c>
      <c r="B270" s="55" t="str">
        <v/>
      </c>
      <c r="C270" s="56">
        <v>244</v>
      </c>
      <c r="D270" s="68">
        <v>342</v>
      </c>
      <c r="E270" s="144"/>
      <c r="F270" s="120">
        <f t="shared" si="93"/>
        <v>0</v>
      </c>
      <c r="G270" s="57">
        <f t="shared" si="95"/>
        <v>0</v>
      </c>
      <c r="H270" s="121">
        <f t="shared" si="95"/>
        <v>0</v>
      </c>
      <c r="I270" s="70"/>
      <c r="J270" s="70"/>
      <c r="K270" s="70"/>
      <c r="L270" s="59"/>
      <c r="M270" s="59"/>
      <c r="N270" s="59"/>
      <c r="O270" s="39"/>
      <c r="P270" s="40"/>
      <c r="Q270" s="39"/>
    </row>
    <row r="271" spans="1:17" ht="12" customHeight="1" x14ac:dyDescent="0.3">
      <c r="A271" s="58" t="str">
        <v/>
      </c>
      <c r="B271" s="55" t="str">
        <v/>
      </c>
      <c r="C271" s="56">
        <v>244</v>
      </c>
      <c r="D271" s="68">
        <v>342</v>
      </c>
      <c r="E271" s="144"/>
      <c r="F271" s="120">
        <f t="shared" si="93"/>
        <v>0</v>
      </c>
      <c r="G271" s="57">
        <f t="shared" si="95"/>
        <v>0</v>
      </c>
      <c r="H271" s="121">
        <f t="shared" si="95"/>
        <v>0</v>
      </c>
      <c r="I271" s="70"/>
      <c r="J271" s="70"/>
      <c r="K271" s="70"/>
      <c r="L271" s="59"/>
      <c r="M271" s="59"/>
      <c r="N271" s="59"/>
      <c r="O271" s="39"/>
      <c r="P271" s="40"/>
      <c r="Q271" s="39"/>
    </row>
    <row r="272" spans="1:17" ht="12" customHeight="1" x14ac:dyDescent="0.3">
      <c r="A272" s="58" t="str">
        <v/>
      </c>
      <c r="B272" s="55" t="str">
        <v/>
      </c>
      <c r="C272" s="56">
        <v>244</v>
      </c>
      <c r="D272" s="68">
        <v>342</v>
      </c>
      <c r="E272" s="144"/>
      <c r="F272" s="120">
        <f t="shared" si="93"/>
        <v>0</v>
      </c>
      <c r="G272" s="57">
        <f t="shared" si="95"/>
        <v>0</v>
      </c>
      <c r="H272" s="121">
        <f t="shared" si="95"/>
        <v>0</v>
      </c>
      <c r="I272" s="70"/>
      <c r="J272" s="70"/>
      <c r="K272" s="70"/>
      <c r="L272" s="59"/>
      <c r="M272" s="59"/>
      <c r="N272" s="59"/>
      <c r="O272" s="39"/>
      <c r="P272" s="40"/>
      <c r="Q272" s="39"/>
    </row>
    <row r="273" spans="1:17" ht="12" customHeight="1" x14ac:dyDescent="0.3">
      <c r="A273" s="58" t="str">
        <v/>
      </c>
      <c r="B273" s="55" t="str">
        <v/>
      </c>
      <c r="C273" s="56">
        <v>244</v>
      </c>
      <c r="D273" s="68">
        <v>342</v>
      </c>
      <c r="E273" s="144"/>
      <c r="F273" s="120">
        <f t="shared" si="93"/>
        <v>0</v>
      </c>
      <c r="G273" s="57">
        <f t="shared" si="95"/>
        <v>0</v>
      </c>
      <c r="H273" s="121">
        <f t="shared" si="95"/>
        <v>0</v>
      </c>
      <c r="I273" s="70"/>
      <c r="J273" s="70"/>
      <c r="K273" s="70"/>
      <c r="L273" s="59"/>
      <c r="M273" s="59"/>
      <c r="N273" s="59"/>
      <c r="O273" s="39"/>
      <c r="P273" s="40"/>
      <c r="Q273" s="39"/>
    </row>
    <row r="274" spans="1:17" ht="12" customHeight="1" x14ac:dyDescent="0.3">
      <c r="A274" s="58" t="str">
        <v/>
      </c>
      <c r="B274" s="55" t="str">
        <v/>
      </c>
      <c r="C274" s="56">
        <v>244</v>
      </c>
      <c r="D274" s="68">
        <v>342</v>
      </c>
      <c r="E274" s="144"/>
      <c r="F274" s="120">
        <f t="shared" si="93"/>
        <v>0</v>
      </c>
      <c r="G274" s="57">
        <f t="shared" si="95"/>
        <v>0</v>
      </c>
      <c r="H274" s="121">
        <f>K274+N274</f>
        <v>0</v>
      </c>
      <c r="I274" s="70"/>
      <c r="J274" s="70"/>
      <c r="K274" s="70"/>
      <c r="L274" s="59"/>
      <c r="M274" s="59"/>
      <c r="N274" s="59"/>
      <c r="O274" s="39"/>
      <c r="P274" s="40"/>
      <c r="Q274" s="39"/>
    </row>
    <row r="275" spans="1:17" ht="12" customHeight="1" x14ac:dyDescent="0.3">
      <c r="A275" s="58" t="str">
        <v/>
      </c>
      <c r="B275" s="55" t="str">
        <v/>
      </c>
      <c r="C275" s="56">
        <v>244</v>
      </c>
      <c r="D275" s="68">
        <v>342</v>
      </c>
      <c r="E275" s="144"/>
      <c r="F275" s="120">
        <f t="shared" si="93"/>
        <v>0</v>
      </c>
      <c r="G275" s="57">
        <f t="shared" si="95"/>
        <v>0</v>
      </c>
      <c r="H275" s="121">
        <f>K275+N275</f>
        <v>0</v>
      </c>
      <c r="I275" s="70"/>
      <c r="J275" s="70"/>
      <c r="K275" s="70"/>
      <c r="L275" s="59"/>
      <c r="M275" s="59"/>
      <c r="N275" s="59"/>
      <c r="O275" s="39"/>
      <c r="P275" s="40"/>
      <c r="Q275" s="39"/>
    </row>
    <row r="276" spans="1:17" ht="12" customHeight="1" x14ac:dyDescent="0.3">
      <c r="A276" s="58" t="str">
        <v/>
      </c>
      <c r="B276" s="55" t="str">
        <v/>
      </c>
      <c r="C276" s="56">
        <v>244</v>
      </c>
      <c r="D276" s="68">
        <v>342</v>
      </c>
      <c r="E276" s="144"/>
      <c r="F276" s="120">
        <f t="shared" si="93"/>
        <v>0</v>
      </c>
      <c r="G276" s="57">
        <f t="shared" si="95"/>
        <v>0</v>
      </c>
      <c r="H276" s="121">
        <f>K276+N276</f>
        <v>0</v>
      </c>
      <c r="I276" s="70"/>
      <c r="J276" s="70"/>
      <c r="K276" s="70"/>
      <c r="L276" s="59"/>
      <c r="M276" s="59"/>
      <c r="N276" s="59"/>
      <c r="O276" s="39"/>
      <c r="P276" s="40"/>
      <c r="Q276" s="39"/>
    </row>
    <row r="277" spans="1:17" ht="12" customHeight="1" x14ac:dyDescent="0.3">
      <c r="A277" s="58" t="str">
        <f t="array" ref="A277:A283">IFERROR(INDEX(КБК!E4:E1045,SMALL(IF((($D$277=КБК!F4:F1045)*($C$277=КБК!G4:G1045)*(NOT(ISERR(SEARCH($O$1,КБК!D4:D1045))))),ROW(КБК!E4:E1045)-3,""),ROW()-$O$277+1)),"")</f>
        <v>доходы 0000000131.244.0</v>
      </c>
      <c r="B277" s="55" t="str">
        <f t="array" ref="B277:B283">IFERROR(INDEX(КБК!H4:H1045,SMALL(IF((($D$277=КБК!F4:F1045)*($C$277=КБК!G4:G1045)*(NOT(ISERR(SEARCH($O$1,КБК!D4:D1045))))),ROW(КБК!E4:E1045)-3,""),ROW()-$O$277+1)),"")</f>
        <v>1102</v>
      </c>
      <c r="C277" s="56">
        <v>244</v>
      </c>
      <c r="D277" s="68">
        <v>343</v>
      </c>
      <c r="E277" s="167"/>
      <c r="F277" s="120">
        <f t="shared" si="93"/>
        <v>50000</v>
      </c>
      <c r="G277" s="57">
        <f t="shared" ref="G277:H283" si="96">J277+M277</f>
        <v>50000</v>
      </c>
      <c r="H277" s="121">
        <f t="shared" si="96"/>
        <v>50000</v>
      </c>
      <c r="I277" s="70">
        <v>50000</v>
      </c>
      <c r="J277" s="70">
        <v>50000</v>
      </c>
      <c r="K277" s="70">
        <v>50000</v>
      </c>
      <c r="L277" s="59"/>
      <c r="M277" s="59"/>
      <c r="N277" s="59"/>
      <c r="O277" s="39">
        <f>ROW()</f>
        <v>277</v>
      </c>
      <c r="P277" s="40"/>
      <c r="Q277" s="39"/>
    </row>
    <row r="278" spans="1:17" ht="12" customHeight="1" x14ac:dyDescent="0.3">
      <c r="A278" s="58" t="str">
        <v>спорт 1130387590.244.0</v>
      </c>
      <c r="B278" s="55" t="str">
        <v>1102</v>
      </c>
      <c r="C278" s="56">
        <v>244</v>
      </c>
      <c r="D278" s="68">
        <v>343</v>
      </c>
      <c r="E278" s="167"/>
      <c r="F278" s="120">
        <f t="shared" ref="F278:F283" si="97">I278+L278</f>
        <v>805635</v>
      </c>
      <c r="G278" s="57">
        <f t="shared" si="96"/>
        <v>805635</v>
      </c>
      <c r="H278" s="121">
        <f t="shared" si="96"/>
        <v>805635</v>
      </c>
      <c r="I278" s="70">
        <v>805635</v>
      </c>
      <c r="J278" s="70">
        <v>805635</v>
      </c>
      <c r="K278" s="70">
        <v>805635</v>
      </c>
      <c r="L278" s="59"/>
      <c r="M278" s="59"/>
      <c r="N278" s="59"/>
      <c r="O278" s="39"/>
      <c r="P278" s="40"/>
      <c r="Q278" s="39"/>
    </row>
    <row r="279" spans="1:17" ht="12" customHeight="1" x14ac:dyDescent="0.3">
      <c r="A279" s="58" t="str">
        <v/>
      </c>
      <c r="B279" s="55" t="str">
        <v/>
      </c>
      <c r="C279" s="56">
        <v>244</v>
      </c>
      <c r="D279" s="68">
        <v>343</v>
      </c>
      <c r="E279" s="167"/>
      <c r="F279" s="120">
        <f t="shared" si="97"/>
        <v>0</v>
      </c>
      <c r="G279" s="57">
        <f t="shared" si="96"/>
        <v>0</v>
      </c>
      <c r="H279" s="121">
        <f t="shared" si="96"/>
        <v>0</v>
      </c>
      <c r="I279" s="70"/>
      <c r="J279" s="70"/>
      <c r="K279" s="70"/>
      <c r="L279" s="59"/>
      <c r="M279" s="59"/>
      <c r="N279" s="59"/>
      <c r="O279" s="39"/>
      <c r="P279" s="40"/>
      <c r="Q279" s="39"/>
    </row>
    <row r="280" spans="1:17" ht="12" customHeight="1" x14ac:dyDescent="0.3">
      <c r="A280" s="58" t="str">
        <v/>
      </c>
      <c r="B280" s="55" t="str">
        <v/>
      </c>
      <c r="C280" s="56">
        <v>244</v>
      </c>
      <c r="D280" s="68">
        <v>343</v>
      </c>
      <c r="E280" s="167"/>
      <c r="F280" s="120">
        <f t="shared" si="97"/>
        <v>0</v>
      </c>
      <c r="G280" s="57">
        <f t="shared" si="96"/>
        <v>0</v>
      </c>
      <c r="H280" s="121">
        <f t="shared" si="96"/>
        <v>0</v>
      </c>
      <c r="I280" s="70"/>
      <c r="J280" s="70"/>
      <c r="K280" s="70"/>
      <c r="L280" s="59"/>
      <c r="M280" s="59"/>
      <c r="N280" s="59"/>
      <c r="O280" s="39"/>
      <c r="P280" s="40"/>
      <c r="Q280" s="39"/>
    </row>
    <row r="281" spans="1:17" ht="12" customHeight="1" x14ac:dyDescent="0.3">
      <c r="A281" s="58" t="str">
        <v/>
      </c>
      <c r="B281" s="55" t="str">
        <v/>
      </c>
      <c r="C281" s="56">
        <v>244</v>
      </c>
      <c r="D281" s="68">
        <v>343</v>
      </c>
      <c r="E281" s="167"/>
      <c r="F281" s="120">
        <f t="shared" si="97"/>
        <v>0</v>
      </c>
      <c r="G281" s="57">
        <f t="shared" si="96"/>
        <v>0</v>
      </c>
      <c r="H281" s="121">
        <f t="shared" si="96"/>
        <v>0</v>
      </c>
      <c r="I281" s="70"/>
      <c r="J281" s="70"/>
      <c r="K281" s="70"/>
      <c r="L281" s="59"/>
      <c r="M281" s="59"/>
      <c r="N281" s="59"/>
      <c r="O281" s="39"/>
      <c r="P281" s="40"/>
      <c r="Q281" s="39"/>
    </row>
    <row r="282" spans="1:17" ht="12" customHeight="1" x14ac:dyDescent="0.3">
      <c r="A282" s="58" t="str">
        <v/>
      </c>
      <c r="B282" s="55" t="str">
        <v/>
      </c>
      <c r="C282" s="56">
        <v>244</v>
      </c>
      <c r="D282" s="68">
        <v>343</v>
      </c>
      <c r="E282" s="167"/>
      <c r="F282" s="120">
        <f t="shared" si="97"/>
        <v>0</v>
      </c>
      <c r="G282" s="57">
        <f t="shared" si="96"/>
        <v>0</v>
      </c>
      <c r="H282" s="121">
        <f t="shared" si="96"/>
        <v>0</v>
      </c>
      <c r="I282" s="70"/>
      <c r="J282" s="70"/>
      <c r="K282" s="70"/>
      <c r="L282" s="59"/>
      <c r="M282" s="59"/>
      <c r="N282" s="59"/>
      <c r="O282" s="39"/>
      <c r="P282" s="40"/>
      <c r="Q282" s="39"/>
    </row>
    <row r="283" spans="1:17" ht="12" customHeight="1" x14ac:dyDescent="0.3">
      <c r="A283" s="58" t="str">
        <v/>
      </c>
      <c r="B283" s="55" t="str">
        <v/>
      </c>
      <c r="C283" s="56">
        <v>244</v>
      </c>
      <c r="D283" s="68">
        <v>343</v>
      </c>
      <c r="E283" s="167"/>
      <c r="F283" s="120">
        <f t="shared" si="97"/>
        <v>0</v>
      </c>
      <c r="G283" s="57">
        <f t="shared" si="96"/>
        <v>0</v>
      </c>
      <c r="H283" s="121">
        <f t="shared" si="96"/>
        <v>0</v>
      </c>
      <c r="I283" s="70"/>
      <c r="J283" s="70"/>
      <c r="K283" s="70"/>
      <c r="L283" s="59"/>
      <c r="M283" s="59"/>
      <c r="N283" s="59"/>
      <c r="O283" s="39"/>
      <c r="P283" s="40"/>
      <c r="Q283" s="39"/>
    </row>
    <row r="284" spans="1:17" ht="12" customHeight="1" x14ac:dyDescent="0.3">
      <c r="A284" s="58" t="str">
        <f t="array" ref="A284:A287">IFERROR(INDEX(КБК!E4:E1045,SMALL(IF((($D$284=КБК!F4:F1045)*($C$284=КБК!G4:G1045)*(NOT(ISERR(SEARCH($O$1,КБК!D4:D1045))))),ROW(КБК!E4:E1045)-3,""),ROW()-$O$284+1)),"")</f>
        <v>доходы 0000000131.244.0</v>
      </c>
      <c r="B284" s="55" t="str">
        <f t="array" ref="B284:B287">IFERROR(INDEX(КБК!H4:H1045,SMALL(IF((($D$284=КБК!F4:F1045)*($C$284=КБК!G4:G1045)*(NOT(ISERR(SEARCH($O$1,КБК!D4:D1045))))),ROW(КБК!E4:E1045)-3,""),ROW()-$O$284+1)),"")</f>
        <v>1102</v>
      </c>
      <c r="C284" s="56">
        <v>244</v>
      </c>
      <c r="D284" s="68">
        <v>344</v>
      </c>
      <c r="E284" s="144"/>
      <c r="F284" s="120">
        <f t="shared" ref="F284:F293" si="98">I284+L284</f>
        <v>0</v>
      </c>
      <c r="G284" s="57">
        <f t="shared" ref="G284:H287" si="99">J284+M284</f>
        <v>0</v>
      </c>
      <c r="H284" s="121">
        <f t="shared" si="99"/>
        <v>0</v>
      </c>
      <c r="I284" s="70"/>
      <c r="J284" s="70"/>
      <c r="K284" s="70"/>
      <c r="L284" s="59"/>
      <c r="M284" s="59"/>
      <c r="N284" s="59"/>
      <c r="O284" s="39">
        <f>ROW()</f>
        <v>284</v>
      </c>
      <c r="P284" s="40"/>
      <c r="Q284" s="39"/>
    </row>
    <row r="285" spans="1:17" ht="12" customHeight="1" x14ac:dyDescent="0.3">
      <c r="A285" s="58" t="str">
        <v>спорт 1130387590.244.0</v>
      </c>
      <c r="B285" s="55" t="str">
        <v>1102</v>
      </c>
      <c r="C285" s="56">
        <v>244</v>
      </c>
      <c r="D285" s="68">
        <v>344</v>
      </c>
      <c r="E285" s="144"/>
      <c r="F285" s="120">
        <f t="shared" si="98"/>
        <v>360000</v>
      </c>
      <c r="G285" s="57">
        <f t="shared" si="99"/>
        <v>360000</v>
      </c>
      <c r="H285" s="121">
        <f t="shared" si="99"/>
        <v>360000</v>
      </c>
      <c r="I285" s="70">
        <v>360000</v>
      </c>
      <c r="J285" s="70">
        <v>360000</v>
      </c>
      <c r="K285" s="70">
        <v>360000</v>
      </c>
      <c r="L285" s="59"/>
      <c r="M285" s="59"/>
      <c r="N285" s="59"/>
      <c r="O285" s="39"/>
      <c r="P285" s="40"/>
      <c r="Q285" s="39"/>
    </row>
    <row r="286" spans="1:17" ht="12" customHeight="1" x14ac:dyDescent="0.3">
      <c r="A286" s="58" t="str">
        <v/>
      </c>
      <c r="B286" s="55" t="str">
        <v/>
      </c>
      <c r="C286" s="56">
        <v>244</v>
      </c>
      <c r="D286" s="68">
        <v>344</v>
      </c>
      <c r="E286" s="144"/>
      <c r="F286" s="120">
        <f t="shared" si="98"/>
        <v>0</v>
      </c>
      <c r="G286" s="57">
        <f t="shared" si="99"/>
        <v>0</v>
      </c>
      <c r="H286" s="121">
        <f t="shared" si="99"/>
        <v>0</v>
      </c>
      <c r="I286" s="70"/>
      <c r="J286" s="70"/>
      <c r="K286" s="70"/>
      <c r="L286" s="59"/>
      <c r="M286" s="59"/>
      <c r="N286" s="59"/>
      <c r="O286" s="39"/>
      <c r="P286" s="40"/>
      <c r="Q286" s="39"/>
    </row>
    <row r="287" spans="1:17" ht="12" customHeight="1" x14ac:dyDescent="0.3">
      <c r="A287" s="58" t="str">
        <v/>
      </c>
      <c r="B287" s="55" t="str">
        <v/>
      </c>
      <c r="C287" s="56">
        <v>244</v>
      </c>
      <c r="D287" s="68">
        <v>344</v>
      </c>
      <c r="E287" s="144"/>
      <c r="F287" s="120">
        <f t="shared" si="98"/>
        <v>0</v>
      </c>
      <c r="G287" s="57">
        <f t="shared" si="99"/>
        <v>0</v>
      </c>
      <c r="H287" s="121">
        <f t="shared" si="99"/>
        <v>0</v>
      </c>
      <c r="I287" s="70"/>
      <c r="J287" s="70"/>
      <c r="K287" s="70"/>
      <c r="L287" s="59"/>
      <c r="M287" s="59"/>
      <c r="N287" s="59"/>
      <c r="O287" s="39"/>
      <c r="P287" s="40"/>
      <c r="Q287" s="39"/>
    </row>
    <row r="288" spans="1:17" ht="12" customHeight="1" x14ac:dyDescent="0.3">
      <c r="A288" s="58" t="str">
        <f t="array" ref="A288:A292">IFERROR(INDEX(КБК!E4:E1045,SMALL(IF((($D$288=КБК!F4:F1045)*($C$288=КБК!G4:G1045)*(NOT(ISERR(SEARCH($O$1,КБК!D4:D1045))))),ROW(КБК!E4:E1045)-3,""),ROW()-$O$288+1)),"")</f>
        <v>доходы 0000000131.244.0</v>
      </c>
      <c r="B288" s="55" t="str">
        <f t="array" ref="B288:B292">IFERROR(INDEX(КБК!H4:H1045,SMALL(IF((($D$288=КБК!F4:F1045)*($C$288=КБК!G4:G1045)*(NOT(ISERR(SEARCH($O$1,КБК!D4:D1045))))),ROW(КБК!E4:E1045)-3,""),ROW()-$O$288+1)),"")</f>
        <v>1102</v>
      </c>
      <c r="C288" s="56">
        <v>244</v>
      </c>
      <c r="D288" s="68">
        <v>345</v>
      </c>
      <c r="E288" s="167"/>
      <c r="F288" s="120">
        <f t="shared" si="98"/>
        <v>0</v>
      </c>
      <c r="G288" s="57">
        <f t="shared" ref="G288:H291" si="100">J288+M288</f>
        <v>0</v>
      </c>
      <c r="H288" s="121">
        <f t="shared" si="100"/>
        <v>0</v>
      </c>
      <c r="I288" s="70"/>
      <c r="J288" s="70"/>
      <c r="K288" s="70"/>
      <c r="L288" s="59"/>
      <c r="M288" s="59"/>
      <c r="N288" s="59"/>
      <c r="O288" s="39">
        <f>ROW()</f>
        <v>288</v>
      </c>
      <c r="P288" s="40"/>
      <c r="Q288" s="39"/>
    </row>
    <row r="289" spans="1:17" ht="12" customHeight="1" x14ac:dyDescent="0.3">
      <c r="A289" s="58" t="str">
        <v>спорт 1130387590.244.0</v>
      </c>
      <c r="B289" s="55" t="str">
        <v>1102</v>
      </c>
      <c r="C289" s="56">
        <v>244</v>
      </c>
      <c r="D289" s="68">
        <v>345</v>
      </c>
      <c r="E289" s="167"/>
      <c r="F289" s="120">
        <f t="shared" si="98"/>
        <v>180000</v>
      </c>
      <c r="G289" s="57">
        <f t="shared" si="100"/>
        <v>180000</v>
      </c>
      <c r="H289" s="121">
        <f t="shared" si="100"/>
        <v>180000</v>
      </c>
      <c r="I289" s="70">
        <v>180000</v>
      </c>
      <c r="J289" s="70">
        <v>180000</v>
      </c>
      <c r="K289" s="70">
        <v>180000</v>
      </c>
      <c r="L289" s="59"/>
      <c r="M289" s="59"/>
      <c r="N289" s="59"/>
      <c r="O289" s="39"/>
      <c r="P289" s="40"/>
      <c r="Q289" s="39"/>
    </row>
    <row r="290" spans="1:17" ht="12" customHeight="1" x14ac:dyDescent="0.3">
      <c r="A290" s="58" t="str">
        <v>поддержка 7770622000.244.0</v>
      </c>
      <c r="B290" s="55" t="str">
        <v>1102</v>
      </c>
      <c r="C290" s="56">
        <v>244</v>
      </c>
      <c r="D290" s="68">
        <v>345</v>
      </c>
      <c r="E290" s="167"/>
      <c r="F290" s="120">
        <f t="shared" si="98"/>
        <v>0</v>
      </c>
      <c r="G290" s="57">
        <f t="shared" si="100"/>
        <v>0</v>
      </c>
      <c r="H290" s="121">
        <f t="shared" si="100"/>
        <v>0</v>
      </c>
      <c r="I290" s="70"/>
      <c r="J290" s="70"/>
      <c r="K290" s="70"/>
      <c r="L290" s="59"/>
      <c r="M290" s="59"/>
      <c r="N290" s="59"/>
      <c r="O290" s="39"/>
      <c r="P290" s="40"/>
      <c r="Q290" s="39"/>
    </row>
    <row r="291" spans="1:17" ht="12" customHeight="1" x14ac:dyDescent="0.3">
      <c r="A291" s="58" t="str">
        <v/>
      </c>
      <c r="B291" s="55" t="str">
        <v/>
      </c>
      <c r="C291" s="56">
        <v>244</v>
      </c>
      <c r="D291" s="68">
        <v>345</v>
      </c>
      <c r="E291" s="167"/>
      <c r="F291" s="120">
        <f t="shared" si="98"/>
        <v>0</v>
      </c>
      <c r="G291" s="57">
        <f t="shared" si="100"/>
        <v>0</v>
      </c>
      <c r="H291" s="121">
        <f t="shared" si="100"/>
        <v>0</v>
      </c>
      <c r="I291" s="70"/>
      <c r="J291" s="70"/>
      <c r="K291" s="70"/>
      <c r="L291" s="59"/>
      <c r="M291" s="59"/>
      <c r="N291" s="59"/>
      <c r="O291" s="39"/>
      <c r="P291" s="40"/>
      <c r="Q291" s="39"/>
    </row>
    <row r="292" spans="1:17" ht="12" customHeight="1" x14ac:dyDescent="0.3">
      <c r="A292" s="58" t="str">
        <v/>
      </c>
      <c r="B292" s="55" t="str">
        <v/>
      </c>
      <c r="C292" s="56">
        <v>244</v>
      </c>
      <c r="D292" s="68">
        <v>345</v>
      </c>
      <c r="E292" s="167"/>
      <c r="F292" s="120"/>
      <c r="G292" s="57"/>
      <c r="H292" s="121"/>
      <c r="I292" s="70"/>
      <c r="J292" s="70"/>
      <c r="K292" s="70"/>
      <c r="L292" s="59"/>
      <c r="M292" s="59"/>
      <c r="N292" s="59"/>
      <c r="O292" s="39"/>
      <c r="P292" s="40"/>
      <c r="Q292" s="39"/>
    </row>
    <row r="293" spans="1:17" ht="12" customHeight="1" x14ac:dyDescent="0.3">
      <c r="A293" s="58" t="str">
        <f t="array" ref="A293:A305">IFERROR(INDEX(КБК!E4:E1045,SMALL(IF((($D$293=КБК!F4:F1045)*($C$293=КБК!G4:G1045)*(NOT(ISERR(SEARCH($O$1,КБК!D4:D1045))))),ROW(КБК!E4:E1045)-3,""),ROW()-$O$293+1)),"")</f>
        <v>аренда 0000000121.244.0</v>
      </c>
      <c r="B293" s="166" t="str">
        <f t="array" ref="B293:B304">IFERROR(INDEX(КБК!H4:H1045,SMALL(IF((($D$293=КБК!F4:F1045)*($C$293=КБК!G4:G1045)*(NOT(ISERR(SEARCH($O$1,КБК!D4:D1045))))),ROW(КБК!E4:E1045)-3,""),ROW()-$O$293+1)),"")</f>
        <v>1102</v>
      </c>
      <c r="C293" s="56">
        <v>244</v>
      </c>
      <c r="D293" s="68">
        <v>346</v>
      </c>
      <c r="E293" s="144"/>
      <c r="F293" s="120">
        <f t="shared" si="98"/>
        <v>0</v>
      </c>
      <c r="G293" s="57">
        <f t="shared" ref="G293:H305" si="101">J293+M293</f>
        <v>0</v>
      </c>
      <c r="H293" s="121">
        <f t="shared" si="101"/>
        <v>0</v>
      </c>
      <c r="I293" s="70"/>
      <c r="J293" s="70"/>
      <c r="K293" s="70"/>
      <c r="L293" s="59"/>
      <c r="M293" s="59"/>
      <c r="N293" s="59"/>
      <c r="O293" s="39">
        <f>ROW()</f>
        <v>293</v>
      </c>
      <c r="P293" s="40"/>
      <c r="Q293" s="39"/>
    </row>
    <row r="294" spans="1:17" ht="12" customHeight="1" x14ac:dyDescent="0.3">
      <c r="A294" s="58" t="str">
        <v>доходы 0000000131.244.0</v>
      </c>
      <c r="B294" s="166" t="str">
        <v>1102</v>
      </c>
      <c r="C294" s="56">
        <v>244</v>
      </c>
      <c r="D294" s="68">
        <v>346</v>
      </c>
      <c r="E294" s="144"/>
      <c r="F294" s="120">
        <f t="shared" ref="F294:F305" si="102">I294+L294</f>
        <v>184000.43</v>
      </c>
      <c r="G294" s="57">
        <f t="shared" si="101"/>
        <v>111100</v>
      </c>
      <c r="H294" s="121">
        <f t="shared" si="101"/>
        <v>111100</v>
      </c>
      <c r="I294" s="70">
        <v>184000.43</v>
      </c>
      <c r="J294" s="70">
        <v>111100</v>
      </c>
      <c r="K294" s="70">
        <v>111100</v>
      </c>
      <c r="L294" s="59"/>
      <c r="M294" s="59"/>
      <c r="N294" s="59"/>
      <c r="O294" s="39"/>
      <c r="P294" s="40"/>
      <c r="Q294" s="39"/>
    </row>
    <row r="295" spans="1:17" ht="12" customHeight="1" x14ac:dyDescent="0.3">
      <c r="A295" s="58" t="str">
        <v>учащийся 0120823590.244.0</v>
      </c>
      <c r="B295" s="166" t="str">
        <v>0703</v>
      </c>
      <c r="C295" s="56">
        <v>244</v>
      </c>
      <c r="D295" s="68">
        <v>346</v>
      </c>
      <c r="E295" s="144"/>
      <c r="F295" s="120">
        <f t="shared" si="102"/>
        <v>0</v>
      </c>
      <c r="G295" s="57">
        <f t="shared" si="101"/>
        <v>0</v>
      </c>
      <c r="H295" s="121">
        <f t="shared" si="101"/>
        <v>0</v>
      </c>
      <c r="I295" s="70"/>
      <c r="J295" s="70"/>
      <c r="K295" s="70"/>
      <c r="L295" s="59"/>
      <c r="M295" s="59"/>
      <c r="N295" s="59"/>
      <c r="O295" s="39"/>
      <c r="P295" s="40"/>
      <c r="Q295" s="39"/>
    </row>
    <row r="296" spans="1:17" ht="12" customHeight="1" x14ac:dyDescent="0.3">
      <c r="A296" s="58" t="str">
        <v>спорт 1130387590.244.0</v>
      </c>
      <c r="B296" s="166" t="str">
        <v>1102</v>
      </c>
      <c r="C296" s="56">
        <v>244</v>
      </c>
      <c r="D296" s="68">
        <v>346</v>
      </c>
      <c r="E296" s="144"/>
      <c r="F296" s="120">
        <f t="shared" si="102"/>
        <v>883890.29</v>
      </c>
      <c r="G296" s="57">
        <f t="shared" si="101"/>
        <v>874922.4</v>
      </c>
      <c r="H296" s="121">
        <f t="shared" si="101"/>
        <v>874922.4</v>
      </c>
      <c r="I296" s="70">
        <v>883890.29</v>
      </c>
      <c r="J296" s="70">
        <v>874922.4</v>
      </c>
      <c r="K296" s="70">
        <v>874922.4</v>
      </c>
      <c r="L296" s="59"/>
      <c r="M296" s="59"/>
      <c r="N296" s="59"/>
      <c r="O296" s="39"/>
      <c r="P296" s="40"/>
      <c r="Q296" s="39"/>
    </row>
    <row r="297" spans="1:17" ht="12" customHeight="1" x14ac:dyDescent="0.3">
      <c r="A297" s="58" t="str">
        <v>двор.практика 0160425170.244.0</v>
      </c>
      <c r="B297" s="166" t="str">
        <v>0707</v>
      </c>
      <c r="C297" s="56">
        <v>244</v>
      </c>
      <c r="D297" s="68">
        <v>346</v>
      </c>
      <c r="E297" s="144"/>
      <c r="F297" s="120">
        <f t="shared" si="102"/>
        <v>0</v>
      </c>
      <c r="G297" s="57">
        <f t="shared" si="101"/>
        <v>0</v>
      </c>
      <c r="H297" s="121">
        <f t="shared" si="101"/>
        <v>0</v>
      </c>
      <c r="I297" s="70"/>
      <c r="J297" s="70"/>
      <c r="K297" s="70"/>
      <c r="L297" s="59"/>
      <c r="M297" s="59"/>
      <c r="N297" s="59"/>
      <c r="O297" s="39"/>
      <c r="P297" s="40"/>
      <c r="Q297" s="39"/>
    </row>
    <row r="298" spans="1:17" ht="12" customHeight="1" x14ac:dyDescent="0.3">
      <c r="A298" s="58" t="str">
        <v/>
      </c>
      <c r="B298" s="166" t="str">
        <v/>
      </c>
      <c r="C298" s="56">
        <v>244</v>
      </c>
      <c r="D298" s="68">
        <v>346</v>
      </c>
      <c r="E298" s="144"/>
      <c r="F298" s="120">
        <f t="shared" si="102"/>
        <v>0</v>
      </c>
      <c r="G298" s="57">
        <f t="shared" si="101"/>
        <v>0</v>
      </c>
      <c r="H298" s="121">
        <f t="shared" si="101"/>
        <v>0</v>
      </c>
      <c r="I298" s="70"/>
      <c r="J298" s="70"/>
      <c r="K298" s="70"/>
      <c r="L298" s="59"/>
      <c r="M298" s="59"/>
      <c r="N298" s="59"/>
      <c r="O298" s="39"/>
      <c r="P298" s="40"/>
      <c r="Q298" s="39"/>
    </row>
    <row r="299" spans="1:17" ht="12" customHeight="1" x14ac:dyDescent="0.3">
      <c r="A299" s="58" t="str">
        <v/>
      </c>
      <c r="B299" s="166" t="str">
        <v/>
      </c>
      <c r="C299" s="56">
        <v>244</v>
      </c>
      <c r="D299" s="68">
        <v>346</v>
      </c>
      <c r="E299" s="144"/>
      <c r="F299" s="120">
        <f t="shared" si="102"/>
        <v>0</v>
      </c>
      <c r="G299" s="57">
        <f t="shared" si="101"/>
        <v>0</v>
      </c>
      <c r="H299" s="121">
        <f t="shared" si="101"/>
        <v>0</v>
      </c>
      <c r="I299" s="70"/>
      <c r="J299" s="70"/>
      <c r="K299" s="70"/>
      <c r="L299" s="59"/>
      <c r="M299" s="59"/>
      <c r="N299" s="59"/>
      <c r="O299" s="39"/>
      <c r="P299" s="40"/>
      <c r="Q299" s="39"/>
    </row>
    <row r="300" spans="1:17" ht="12" customHeight="1" x14ac:dyDescent="0.3">
      <c r="A300" s="58" t="str">
        <v/>
      </c>
      <c r="B300" s="166" t="str">
        <v/>
      </c>
      <c r="C300" s="56">
        <v>244</v>
      </c>
      <c r="D300" s="68">
        <v>346</v>
      </c>
      <c r="E300" s="144"/>
      <c r="F300" s="120">
        <f t="shared" si="102"/>
        <v>0</v>
      </c>
      <c r="G300" s="57">
        <f t="shared" si="101"/>
        <v>0</v>
      </c>
      <c r="H300" s="121">
        <f t="shared" si="101"/>
        <v>0</v>
      </c>
      <c r="I300" s="70"/>
      <c r="J300" s="70"/>
      <c r="K300" s="70"/>
      <c r="L300" s="59"/>
      <c r="M300" s="59"/>
      <c r="N300" s="59"/>
      <c r="O300" s="39"/>
      <c r="P300" s="40"/>
      <c r="Q300" s="39"/>
    </row>
    <row r="301" spans="1:17" ht="12" customHeight="1" x14ac:dyDescent="0.3">
      <c r="A301" s="58" t="str">
        <v/>
      </c>
      <c r="B301" s="166" t="str">
        <v/>
      </c>
      <c r="C301" s="56">
        <v>244</v>
      </c>
      <c r="D301" s="68">
        <v>346</v>
      </c>
      <c r="E301" s="144"/>
      <c r="F301" s="120">
        <f t="shared" si="102"/>
        <v>0</v>
      </c>
      <c r="G301" s="57">
        <f t="shared" si="101"/>
        <v>0</v>
      </c>
      <c r="H301" s="121">
        <f t="shared" si="101"/>
        <v>0</v>
      </c>
      <c r="I301" s="70"/>
      <c r="J301" s="70"/>
      <c r="K301" s="70"/>
      <c r="L301" s="59"/>
      <c r="M301" s="59"/>
      <c r="N301" s="59"/>
      <c r="O301" s="39"/>
      <c r="P301" s="40"/>
      <c r="Q301" s="39"/>
    </row>
    <row r="302" spans="1:17" ht="12" customHeight="1" x14ac:dyDescent="0.3">
      <c r="A302" s="58" t="str">
        <v/>
      </c>
      <c r="B302" s="166" t="str">
        <v/>
      </c>
      <c r="C302" s="56">
        <v>244</v>
      </c>
      <c r="D302" s="68">
        <v>346</v>
      </c>
      <c r="E302" s="144"/>
      <c r="F302" s="120">
        <f t="shared" si="102"/>
        <v>0</v>
      </c>
      <c r="G302" s="57">
        <f t="shared" si="101"/>
        <v>0</v>
      </c>
      <c r="H302" s="121">
        <f t="shared" si="101"/>
        <v>0</v>
      </c>
      <c r="I302" s="70"/>
      <c r="J302" s="70"/>
      <c r="K302" s="70"/>
      <c r="L302" s="59"/>
      <c r="M302" s="59"/>
      <c r="N302" s="59"/>
      <c r="O302" s="39"/>
      <c r="P302" s="40"/>
      <c r="Q302" s="39"/>
    </row>
    <row r="303" spans="1:17" ht="12" customHeight="1" x14ac:dyDescent="0.3">
      <c r="A303" s="58" t="str">
        <v/>
      </c>
      <c r="B303" s="166" t="str">
        <v/>
      </c>
      <c r="C303" s="56">
        <v>244</v>
      </c>
      <c r="D303" s="68">
        <v>346</v>
      </c>
      <c r="E303" s="144"/>
      <c r="F303" s="120">
        <f t="shared" si="102"/>
        <v>0</v>
      </c>
      <c r="G303" s="57">
        <f t="shared" si="101"/>
        <v>0</v>
      </c>
      <c r="H303" s="121">
        <f t="shared" si="101"/>
        <v>0</v>
      </c>
      <c r="I303" s="70"/>
      <c r="J303" s="70"/>
      <c r="K303" s="70"/>
      <c r="L303" s="59"/>
      <c r="M303" s="59"/>
      <c r="N303" s="59"/>
      <c r="O303" s="39"/>
      <c r="P303" s="40"/>
      <c r="Q303" s="39"/>
    </row>
    <row r="304" spans="1:17" ht="12" customHeight="1" x14ac:dyDescent="0.3">
      <c r="A304" s="58" t="str">
        <v/>
      </c>
      <c r="B304" s="166" t="str">
        <v/>
      </c>
      <c r="C304" s="56">
        <v>244</v>
      </c>
      <c r="D304" s="68">
        <v>346</v>
      </c>
      <c r="E304" s="144"/>
      <c r="F304" s="120">
        <f t="shared" si="102"/>
        <v>0</v>
      </c>
      <c r="G304" s="57">
        <f t="shared" si="101"/>
        <v>0</v>
      </c>
      <c r="H304" s="121">
        <f t="shared" si="101"/>
        <v>0</v>
      </c>
      <c r="I304" s="70"/>
      <c r="J304" s="70"/>
      <c r="K304" s="70"/>
      <c r="L304" s="59"/>
      <c r="M304" s="59"/>
      <c r="N304" s="59"/>
      <c r="O304" s="39"/>
      <c r="P304" s="40"/>
      <c r="Q304" s="39"/>
    </row>
    <row r="305" spans="1:17" ht="12" customHeight="1" x14ac:dyDescent="0.3">
      <c r="A305" s="58" t="str">
        <v/>
      </c>
      <c r="B305" s="166"/>
      <c r="C305" s="56">
        <v>244</v>
      </c>
      <c r="D305" s="68">
        <v>346</v>
      </c>
      <c r="E305" s="144"/>
      <c r="F305" s="120">
        <f t="shared" si="102"/>
        <v>0</v>
      </c>
      <c r="G305" s="57">
        <f t="shared" si="101"/>
        <v>0</v>
      </c>
      <c r="H305" s="121">
        <f t="shared" si="101"/>
        <v>0</v>
      </c>
      <c r="I305" s="70"/>
      <c r="J305" s="70"/>
      <c r="K305" s="70"/>
      <c r="L305" s="59"/>
      <c r="M305" s="59"/>
      <c r="N305" s="59"/>
      <c r="O305" s="39"/>
      <c r="P305" s="40"/>
      <c r="Q305" s="39"/>
    </row>
    <row r="306" spans="1:17" ht="12" customHeight="1" x14ac:dyDescent="0.3">
      <c r="A306" s="58" t="str">
        <f t="array" ref="A306:A309">IFERROR(INDEX(КБК!E4:E1045,SMALL(IF((($D$306=КБК!F4:F1045)*($C$306=КБК!G4:G1045)*(NOT(ISERR(SEARCH($O$1,КБК!D4:D1045))))),ROW(КБК!E4:E1045)-3,""),ROW()-$O$306+1)),"")</f>
        <v/>
      </c>
      <c r="B306" s="55" t="str">
        <f t="array" ref="B306:B309">IFERROR(INDEX(КБК!H4:H1045,SMALL(IF((($D$306=КБК!F4:F1045)*($C$306=КБК!G4:G1045)*(NOT(ISERR(SEARCH($O$1,КБК!D4:D1045))))),ROW(КБК!E4:E1045)-3,""),ROW()-$O$306+1)),"")</f>
        <v/>
      </c>
      <c r="C306" s="56">
        <v>244</v>
      </c>
      <c r="D306" s="68">
        <v>347</v>
      </c>
      <c r="E306" s="167"/>
      <c r="F306" s="120">
        <f>I306+L306</f>
        <v>0</v>
      </c>
      <c r="G306" s="57">
        <f t="shared" ref="G306:H309" si="103">J306+M306</f>
        <v>0</v>
      </c>
      <c r="H306" s="121">
        <f t="shared" si="103"/>
        <v>0</v>
      </c>
      <c r="I306" s="70"/>
      <c r="J306" s="70"/>
      <c r="K306" s="70"/>
      <c r="L306" s="59"/>
      <c r="M306" s="59"/>
      <c r="N306" s="59"/>
      <c r="O306" s="39">
        <f>ROW()</f>
        <v>306</v>
      </c>
      <c r="P306" s="40"/>
      <c r="Q306" s="39"/>
    </row>
    <row r="307" spans="1:17" ht="12" customHeight="1" x14ac:dyDescent="0.3">
      <c r="A307" s="58" t="str">
        <v/>
      </c>
      <c r="B307" s="55" t="str">
        <v/>
      </c>
      <c r="C307" s="56">
        <v>244</v>
      </c>
      <c r="D307" s="68">
        <v>347</v>
      </c>
      <c r="E307" s="167"/>
      <c r="F307" s="120">
        <f>I307+L307</f>
        <v>0</v>
      </c>
      <c r="G307" s="57">
        <f t="shared" si="103"/>
        <v>0</v>
      </c>
      <c r="H307" s="121">
        <f t="shared" si="103"/>
        <v>0</v>
      </c>
      <c r="I307" s="70"/>
      <c r="J307" s="70"/>
      <c r="K307" s="70"/>
      <c r="L307" s="59"/>
      <c r="M307" s="59"/>
      <c r="N307" s="59"/>
      <c r="O307" s="39"/>
      <c r="P307" s="40"/>
      <c r="Q307" s="39"/>
    </row>
    <row r="308" spans="1:17" ht="12" customHeight="1" x14ac:dyDescent="0.3">
      <c r="A308" s="58" t="str">
        <v/>
      </c>
      <c r="B308" s="55" t="str">
        <v/>
      </c>
      <c r="C308" s="56">
        <v>244</v>
      </c>
      <c r="D308" s="68">
        <v>347</v>
      </c>
      <c r="E308" s="167"/>
      <c r="F308" s="120">
        <f>I308+L308</f>
        <v>0</v>
      </c>
      <c r="G308" s="57">
        <f t="shared" si="103"/>
        <v>0</v>
      </c>
      <c r="H308" s="121">
        <f t="shared" si="103"/>
        <v>0</v>
      </c>
      <c r="I308" s="70"/>
      <c r="J308" s="70"/>
      <c r="K308" s="70"/>
      <c r="L308" s="59"/>
      <c r="M308" s="59"/>
      <c r="N308" s="59"/>
      <c r="O308" s="39"/>
      <c r="P308" s="40"/>
      <c r="Q308" s="39"/>
    </row>
    <row r="309" spans="1:17" ht="12" customHeight="1" x14ac:dyDescent="0.3">
      <c r="A309" s="58" t="str">
        <v/>
      </c>
      <c r="B309" s="55" t="str">
        <v/>
      </c>
      <c r="C309" s="56">
        <v>244</v>
      </c>
      <c r="D309" s="68">
        <v>347</v>
      </c>
      <c r="E309" s="167"/>
      <c r="F309" s="120">
        <f>I309+L309</f>
        <v>0</v>
      </c>
      <c r="G309" s="57">
        <f t="shared" si="103"/>
        <v>0</v>
      </c>
      <c r="H309" s="121">
        <f t="shared" si="103"/>
        <v>0</v>
      </c>
      <c r="I309" s="70"/>
      <c r="J309" s="70"/>
      <c r="K309" s="70"/>
      <c r="L309" s="59"/>
      <c r="M309" s="59"/>
      <c r="N309" s="59"/>
      <c r="O309" s="39"/>
      <c r="P309" s="40"/>
      <c r="Q309" s="39"/>
    </row>
    <row r="310" spans="1:17" ht="12" customHeight="1" x14ac:dyDescent="0.3">
      <c r="A310" s="58" t="str">
        <f t="array" ref="A310:A318">IFERROR(INDEX(КБК!E4:E1045,SMALL(IF((($D$310=КБК!F4:F1045)*($C$310=КБК!G4:G1045)*(NOT(ISERR(SEARCH($O$1,КБК!D4:D1045))))),ROW(КБК!E4:E1045)-3,""),ROW()-$O$310+1)),"")</f>
        <v>доходы 0000000131.244.0</v>
      </c>
      <c r="B310" s="55" t="str">
        <f t="array" ref="B310:B318">IFERROR(INDEX(КБК!H4:H1045,SMALL(IF((($D$310=КБК!F4:F1045)*($C$310=КБК!G4:G1045)*(NOT(ISERR(SEARCH($O$1,КБК!D4:D1045))))),ROW(КБК!E4:E1045)-3,""),ROW()-$O$310+1)),"")</f>
        <v>1102</v>
      </c>
      <c r="C310" s="56">
        <v>244</v>
      </c>
      <c r="D310" s="68">
        <v>349</v>
      </c>
      <c r="E310" s="144"/>
      <c r="F310" s="120">
        <f t="shared" ref="F310:F318" si="104">I310+L310</f>
        <v>25000</v>
      </c>
      <c r="G310" s="57">
        <f t="shared" ref="G310:H318" si="105">J310+M310</f>
        <v>25000</v>
      </c>
      <c r="H310" s="121">
        <f t="shared" si="105"/>
        <v>25000</v>
      </c>
      <c r="I310" s="70">
        <v>25000</v>
      </c>
      <c r="J310" s="70">
        <v>25000</v>
      </c>
      <c r="K310" s="70">
        <v>25000</v>
      </c>
      <c r="L310" s="59"/>
      <c r="M310" s="59"/>
      <c r="N310" s="59"/>
      <c r="O310" s="39">
        <f>ROW()</f>
        <v>310</v>
      </c>
      <c r="P310" s="40"/>
      <c r="Q310" s="39"/>
    </row>
    <row r="311" spans="1:17" ht="12" customHeight="1" x14ac:dyDescent="0.3">
      <c r="A311" s="58" t="str">
        <v>спорт 1130387590.244.0</v>
      </c>
      <c r="B311" s="55" t="str">
        <v>1102</v>
      </c>
      <c r="C311" s="56">
        <v>244</v>
      </c>
      <c r="D311" s="68">
        <v>349</v>
      </c>
      <c r="E311" s="144"/>
      <c r="F311" s="120">
        <f t="shared" si="104"/>
        <v>90000</v>
      </c>
      <c r="G311" s="57">
        <f t="shared" si="105"/>
        <v>90000</v>
      </c>
      <c r="H311" s="121">
        <f t="shared" si="105"/>
        <v>90000</v>
      </c>
      <c r="I311" s="70">
        <v>90000</v>
      </c>
      <c r="J311" s="70">
        <v>90000</v>
      </c>
      <c r="K311" s="70">
        <v>90000</v>
      </c>
      <c r="L311" s="59"/>
      <c r="M311" s="59"/>
      <c r="N311" s="59"/>
      <c r="O311" s="39"/>
      <c r="P311" s="40"/>
      <c r="Q311" s="39"/>
    </row>
    <row r="312" spans="1:17" ht="12" customHeight="1" x14ac:dyDescent="0.3">
      <c r="A312" s="58" t="str">
        <v>двор.практика 0160425170.244.0</v>
      </c>
      <c r="B312" s="55" t="str">
        <v>0707</v>
      </c>
      <c r="C312" s="56">
        <v>244</v>
      </c>
      <c r="D312" s="68">
        <v>349</v>
      </c>
      <c r="E312" s="144"/>
      <c r="F312" s="120">
        <f t="shared" si="104"/>
        <v>0</v>
      </c>
      <c r="G312" s="57">
        <f t="shared" si="105"/>
        <v>0</v>
      </c>
      <c r="H312" s="121">
        <f t="shared" si="105"/>
        <v>0</v>
      </c>
      <c r="I312" s="70"/>
      <c r="J312" s="70"/>
      <c r="K312" s="70"/>
      <c r="L312" s="59"/>
      <c r="M312" s="59"/>
      <c r="N312" s="59"/>
      <c r="O312" s="39"/>
      <c r="P312" s="40"/>
      <c r="Q312" s="39"/>
    </row>
    <row r="313" spans="1:17" ht="12" customHeight="1" x14ac:dyDescent="0.3">
      <c r="A313" s="58" t="str">
        <v/>
      </c>
      <c r="B313" s="55" t="str">
        <v/>
      </c>
      <c r="C313" s="56">
        <v>244</v>
      </c>
      <c r="D313" s="68">
        <v>349</v>
      </c>
      <c r="E313" s="144"/>
      <c r="F313" s="120">
        <f t="shared" si="104"/>
        <v>0</v>
      </c>
      <c r="G313" s="57">
        <f t="shared" si="105"/>
        <v>0</v>
      </c>
      <c r="H313" s="121">
        <f t="shared" si="105"/>
        <v>0</v>
      </c>
      <c r="I313" s="70"/>
      <c r="J313" s="70"/>
      <c r="K313" s="70"/>
      <c r="L313" s="59"/>
      <c r="M313" s="59"/>
      <c r="N313" s="59"/>
      <c r="O313" s="39"/>
      <c r="P313" s="40"/>
      <c r="Q313" s="39"/>
    </row>
    <row r="314" spans="1:17" ht="12" customHeight="1" x14ac:dyDescent="0.3">
      <c r="A314" s="58" t="str">
        <v/>
      </c>
      <c r="B314" s="55" t="str">
        <v/>
      </c>
      <c r="C314" s="56">
        <v>244</v>
      </c>
      <c r="D314" s="68">
        <v>349</v>
      </c>
      <c r="E314" s="144"/>
      <c r="F314" s="120">
        <f t="shared" si="104"/>
        <v>0</v>
      </c>
      <c r="G314" s="57">
        <f t="shared" si="105"/>
        <v>0</v>
      </c>
      <c r="H314" s="121">
        <f t="shared" si="105"/>
        <v>0</v>
      </c>
      <c r="I314" s="70"/>
      <c r="J314" s="70"/>
      <c r="K314" s="70"/>
      <c r="L314" s="59"/>
      <c r="M314" s="59"/>
      <c r="N314" s="59"/>
      <c r="O314" s="39"/>
      <c r="P314" s="40"/>
      <c r="Q314" s="39"/>
    </row>
    <row r="315" spans="1:17" ht="12" customHeight="1" x14ac:dyDescent="0.3">
      <c r="A315" s="58" t="str">
        <v/>
      </c>
      <c r="B315" s="55" t="str">
        <v/>
      </c>
      <c r="C315" s="56">
        <v>244</v>
      </c>
      <c r="D315" s="68">
        <v>349</v>
      </c>
      <c r="E315" s="144"/>
      <c r="F315" s="120">
        <f t="shared" si="104"/>
        <v>0</v>
      </c>
      <c r="G315" s="57">
        <f t="shared" si="105"/>
        <v>0</v>
      </c>
      <c r="H315" s="121">
        <f t="shared" si="105"/>
        <v>0</v>
      </c>
      <c r="I315" s="70"/>
      <c r="J315" s="70"/>
      <c r="K315" s="70"/>
      <c r="L315" s="59"/>
      <c r="M315" s="59"/>
      <c r="N315" s="59"/>
      <c r="O315" s="39"/>
      <c r="P315" s="40"/>
      <c r="Q315" s="39"/>
    </row>
    <row r="316" spans="1:17" ht="12" customHeight="1" x14ac:dyDescent="0.3">
      <c r="A316" s="58" t="str">
        <v/>
      </c>
      <c r="B316" s="55" t="str">
        <v/>
      </c>
      <c r="C316" s="56">
        <v>244</v>
      </c>
      <c r="D316" s="68">
        <v>349</v>
      </c>
      <c r="E316" s="144"/>
      <c r="F316" s="120">
        <f t="shared" si="104"/>
        <v>0</v>
      </c>
      <c r="G316" s="57">
        <f t="shared" si="105"/>
        <v>0</v>
      </c>
      <c r="H316" s="121">
        <f t="shared" si="105"/>
        <v>0</v>
      </c>
      <c r="I316" s="70"/>
      <c r="J316" s="70"/>
      <c r="K316" s="70"/>
      <c r="L316" s="59"/>
      <c r="M316" s="59"/>
      <c r="N316" s="59"/>
      <c r="O316" s="39"/>
      <c r="P316" s="40"/>
      <c r="Q316" s="39"/>
    </row>
    <row r="317" spans="1:17" ht="12" customHeight="1" x14ac:dyDescent="0.3">
      <c r="A317" s="58" t="str">
        <v/>
      </c>
      <c r="B317" s="55" t="str">
        <v/>
      </c>
      <c r="C317" s="56">
        <v>244</v>
      </c>
      <c r="D317" s="68">
        <v>349</v>
      </c>
      <c r="E317" s="144"/>
      <c r="F317" s="120">
        <f t="shared" si="104"/>
        <v>0</v>
      </c>
      <c r="G317" s="57">
        <f t="shared" si="105"/>
        <v>0</v>
      </c>
      <c r="H317" s="121">
        <f t="shared" si="105"/>
        <v>0</v>
      </c>
      <c r="I317" s="70"/>
      <c r="J317" s="70"/>
      <c r="K317" s="70"/>
      <c r="L317" s="59"/>
      <c r="M317" s="59"/>
      <c r="N317" s="59"/>
      <c r="O317" s="39"/>
      <c r="P317" s="40"/>
      <c r="Q317" s="39"/>
    </row>
    <row r="318" spans="1:17" ht="12" customHeight="1" x14ac:dyDescent="0.3">
      <c r="A318" s="58" t="str">
        <v/>
      </c>
      <c r="B318" s="55" t="str">
        <v/>
      </c>
      <c r="C318" s="56">
        <v>244</v>
      </c>
      <c r="D318" s="68">
        <v>349</v>
      </c>
      <c r="E318" s="144"/>
      <c r="F318" s="120">
        <f t="shared" si="104"/>
        <v>0</v>
      </c>
      <c r="G318" s="57">
        <f t="shared" si="105"/>
        <v>0</v>
      </c>
      <c r="H318" s="121">
        <f t="shared" si="105"/>
        <v>0</v>
      </c>
      <c r="I318" s="70"/>
      <c r="J318" s="70"/>
      <c r="K318" s="70"/>
      <c r="L318" s="59"/>
      <c r="M318" s="59"/>
      <c r="N318" s="59"/>
      <c r="O318" s="39"/>
      <c r="P318" s="40"/>
      <c r="Q318" s="39"/>
    </row>
    <row r="319" spans="1:17" ht="12" customHeight="1" x14ac:dyDescent="0.3">
      <c r="A319" s="62" t="s">
        <v>650</v>
      </c>
      <c r="B319" s="55" t="s">
        <v>202</v>
      </c>
      <c r="C319" s="56">
        <v>247</v>
      </c>
      <c r="D319" s="68">
        <v>223</v>
      </c>
      <c r="E319" s="144">
        <v>2660</v>
      </c>
      <c r="F319" s="124">
        <f>SUM(F320:F329)</f>
        <v>20858140</v>
      </c>
      <c r="G319" s="57">
        <f t="shared" ref="G319:N319" si="106">SUM(G320:G329)</f>
        <v>26144112.699999999</v>
      </c>
      <c r="H319" s="72">
        <f t="shared" si="106"/>
        <v>27430590.699999999</v>
      </c>
      <c r="I319" s="120">
        <f t="shared" si="106"/>
        <v>20858140</v>
      </c>
      <c r="J319" s="57">
        <f t="shared" si="106"/>
        <v>26144112.699999999</v>
      </c>
      <c r="K319" s="57">
        <f t="shared" si="106"/>
        <v>27430590.699999999</v>
      </c>
      <c r="L319" s="57">
        <f t="shared" si="106"/>
        <v>0</v>
      </c>
      <c r="M319" s="57">
        <f t="shared" si="106"/>
        <v>0</v>
      </c>
      <c r="N319" s="57">
        <f t="shared" si="106"/>
        <v>0</v>
      </c>
      <c r="O319" s="39"/>
      <c r="P319" s="40"/>
      <c r="Q319" s="39"/>
    </row>
    <row r="320" spans="1:17" ht="12" customHeight="1" x14ac:dyDescent="0.3">
      <c r="A320" s="58" t="str">
        <f t="array" ref="A320:A324">IFERROR(INDEX(КБК!E4:E1045,SMALL(IF(((2232=КБК!F4:F1045)*($C$320=КБК!G4:G1045)*(NOT(ISERR(SEARCH($O$1,КБК!D4:D1045))))),ROW(КБК!E4:E1045)-3,""),ROW()-$O$320+1)),"")</f>
        <v>аренда 0000000121.247.Т</v>
      </c>
      <c r="B320" s="55" t="str">
        <f t="array" ref="B320:B324">IFERROR(INDEX(КБК!H4:H1045,SMALL(IF(((2232=КБК!F4:F1045)*($C$320=КБК!G4:G1045)*(NOT(ISERR(SEARCH($O$1,КБК!D4:D1045))))),ROW(КБК!E4:E1045)-3,""),ROW()-$O$320+1)),"")</f>
        <v>1102</v>
      </c>
      <c r="C320" s="56">
        <v>247</v>
      </c>
      <c r="D320" s="68">
        <v>223</v>
      </c>
      <c r="E320" s="144"/>
      <c r="F320" s="120">
        <f t="shared" ref="F320:H335" si="107">I320+L320</f>
        <v>0</v>
      </c>
      <c r="G320" s="57">
        <f t="shared" si="107"/>
        <v>0</v>
      </c>
      <c r="H320" s="121">
        <f t="shared" si="107"/>
        <v>0</v>
      </c>
      <c r="I320" s="309"/>
      <c r="J320" s="59"/>
      <c r="K320" s="59"/>
      <c r="L320" s="59"/>
      <c r="M320" s="59"/>
      <c r="N320" s="59"/>
      <c r="O320" s="39">
        <f>ROW()</f>
        <v>320</v>
      </c>
      <c r="P320" s="40"/>
      <c r="Q320" s="39"/>
    </row>
    <row r="321" spans="1:17" ht="12" customHeight="1" x14ac:dyDescent="0.3">
      <c r="A321" s="58" t="str">
        <v>доходы 0000000131.247.Т</v>
      </c>
      <c r="B321" s="55" t="str">
        <v>1102</v>
      </c>
      <c r="C321" s="56">
        <v>247</v>
      </c>
      <c r="D321" s="68">
        <v>223</v>
      </c>
      <c r="E321" s="144"/>
      <c r="F321" s="120">
        <f t="shared" si="107"/>
        <v>0</v>
      </c>
      <c r="G321" s="57">
        <f t="shared" si="107"/>
        <v>0</v>
      </c>
      <c r="H321" s="121">
        <f t="shared" si="107"/>
        <v>0</v>
      </c>
      <c r="I321" s="309"/>
      <c r="J321" s="59"/>
      <c r="K321" s="59"/>
      <c r="L321" s="59"/>
      <c r="M321" s="59"/>
      <c r="N321" s="59"/>
      <c r="O321" s="39"/>
      <c r="P321" s="40"/>
      <c r="Q321" s="39"/>
    </row>
    <row r="322" spans="1:17" ht="12" customHeight="1" x14ac:dyDescent="0.3">
      <c r="A322" s="58" t="str">
        <v>спорт 1130387590.247.Т</v>
      </c>
      <c r="B322" s="55" t="str">
        <v>1102</v>
      </c>
      <c r="C322" s="56">
        <v>247</v>
      </c>
      <c r="D322" s="68">
        <v>223</v>
      </c>
      <c r="E322" s="144"/>
      <c r="F322" s="120">
        <f t="shared" si="107"/>
        <v>8570070</v>
      </c>
      <c r="G322" s="57">
        <f t="shared" si="107"/>
        <v>13166822.699999999</v>
      </c>
      <c r="H322" s="121">
        <f t="shared" si="107"/>
        <v>14453300.699999999</v>
      </c>
      <c r="I322" s="309">
        <v>8570070</v>
      </c>
      <c r="J322" s="59">
        <v>13166822.699999999</v>
      </c>
      <c r="K322" s="59">
        <v>14453300.699999999</v>
      </c>
      <c r="L322" s="59"/>
      <c r="M322" s="59"/>
      <c r="N322" s="59"/>
      <c r="O322" s="39"/>
      <c r="P322" s="40"/>
      <c r="Q322" s="39"/>
    </row>
    <row r="323" spans="1:17" ht="12" customHeight="1" x14ac:dyDescent="0.3">
      <c r="A323" s="58" t="str">
        <v>полномочия 11303S2650.247.Т</v>
      </c>
      <c r="B323" s="55" t="str">
        <v>1102</v>
      </c>
      <c r="C323" s="56">
        <v>247</v>
      </c>
      <c r="D323" s="68">
        <v>223</v>
      </c>
      <c r="E323" s="144"/>
      <c r="F323" s="120">
        <f t="shared" si="107"/>
        <v>0</v>
      </c>
      <c r="G323" s="57">
        <f t="shared" si="107"/>
        <v>0</v>
      </c>
      <c r="H323" s="121">
        <f t="shared" si="107"/>
        <v>0</v>
      </c>
      <c r="I323" s="309"/>
      <c r="J323" s="59"/>
      <c r="K323" s="59"/>
      <c r="L323" s="59"/>
      <c r="M323" s="59"/>
      <c r="N323" s="59"/>
      <c r="O323" s="39"/>
      <c r="P323" s="40"/>
      <c r="Q323" s="39"/>
    </row>
    <row r="324" spans="1:17" ht="12" customHeight="1" x14ac:dyDescent="0.3">
      <c r="A324" s="58" t="str">
        <v/>
      </c>
      <c r="B324" s="55" t="str">
        <v/>
      </c>
      <c r="C324" s="56">
        <v>247</v>
      </c>
      <c r="D324" s="68">
        <v>223</v>
      </c>
      <c r="E324" s="144"/>
      <c r="F324" s="120">
        <f t="shared" si="107"/>
        <v>0</v>
      </c>
      <c r="G324" s="57">
        <f t="shared" si="107"/>
        <v>0</v>
      </c>
      <c r="H324" s="121">
        <f t="shared" si="107"/>
        <v>0</v>
      </c>
      <c r="I324" s="309"/>
      <c r="J324" s="59"/>
      <c r="K324" s="59"/>
      <c r="L324" s="59"/>
      <c r="M324" s="59"/>
      <c r="N324" s="59"/>
      <c r="O324" s="39"/>
      <c r="P324" s="40"/>
      <c r="Q324" s="39"/>
    </row>
    <row r="325" spans="1:17" ht="12" customHeight="1" x14ac:dyDescent="0.3">
      <c r="A325" s="58" t="str">
        <f t="array" ref="A325:A329">IFERROR(INDEX(КБК!E4:E1045,SMALL(IF(((2231=КБК!F4:F1045)*($C$325=КБК!G4:G1045)*(NOT(ISERR(SEARCH($O$1,КБК!D4:D1045))))),ROW(КБК!E4:E1045)-3,""),ROW()-$O$325+1)),"")</f>
        <v>аренда 0000000121.247.Э</v>
      </c>
      <c r="B325" s="55" t="str">
        <f t="array" ref="B325:B329">IFERROR(INDEX(КБК!H4:H1045,SMALL(IF(((2231=КБК!F4:F1045)*($C$325=КБК!G4:G1045)*(NOT(ISERR(SEARCH($O$1,КБК!D4:D1045))))),ROW(КБК!E4:E1045)-3,""),ROW()-$O$325+1)),"")</f>
        <v>1102</v>
      </c>
      <c r="C325" s="56">
        <v>247</v>
      </c>
      <c r="D325" s="68">
        <v>223</v>
      </c>
      <c r="E325" s="167"/>
      <c r="F325" s="120">
        <f t="shared" si="107"/>
        <v>160600</v>
      </c>
      <c r="G325" s="57">
        <f t="shared" si="107"/>
        <v>160600</v>
      </c>
      <c r="H325" s="121">
        <f t="shared" si="107"/>
        <v>160600</v>
      </c>
      <c r="I325" s="309">
        <v>160600</v>
      </c>
      <c r="J325" s="59">
        <v>160600</v>
      </c>
      <c r="K325" s="59">
        <v>160600</v>
      </c>
      <c r="L325" s="59"/>
      <c r="M325" s="59"/>
      <c r="N325" s="59"/>
      <c r="O325" s="39">
        <f>ROW()</f>
        <v>325</v>
      </c>
      <c r="P325" s="40"/>
      <c r="Q325" s="39"/>
    </row>
    <row r="326" spans="1:17" ht="12" customHeight="1" x14ac:dyDescent="0.3">
      <c r="A326" s="58" t="str">
        <v>доходы 0000000131.247.Э</v>
      </c>
      <c r="B326" s="55" t="str">
        <v>1102</v>
      </c>
      <c r="C326" s="56">
        <v>247</v>
      </c>
      <c r="D326" s="68">
        <v>223</v>
      </c>
      <c r="E326" s="167"/>
      <c r="F326" s="120">
        <f t="shared" si="107"/>
        <v>0</v>
      </c>
      <c r="G326" s="57">
        <f t="shared" si="107"/>
        <v>0</v>
      </c>
      <c r="H326" s="121">
        <f t="shared" si="107"/>
        <v>0</v>
      </c>
      <c r="I326" s="309"/>
      <c r="J326" s="59"/>
      <c r="K326" s="59"/>
      <c r="L326" s="59"/>
      <c r="M326" s="59"/>
      <c r="N326" s="59"/>
      <c r="O326" s="39"/>
      <c r="P326" s="40"/>
      <c r="Q326" s="39"/>
    </row>
    <row r="327" spans="1:17" ht="12" customHeight="1" x14ac:dyDescent="0.3">
      <c r="A327" s="58" t="str">
        <v>компенсация 000000135.247.Э</v>
      </c>
      <c r="B327" s="55" t="str">
        <v>1102</v>
      </c>
      <c r="C327" s="56">
        <v>247</v>
      </c>
      <c r="D327" s="68">
        <v>223</v>
      </c>
      <c r="E327" s="167"/>
      <c r="F327" s="120">
        <f t="shared" si="107"/>
        <v>60000</v>
      </c>
      <c r="G327" s="57">
        <f t="shared" si="107"/>
        <v>60000</v>
      </c>
      <c r="H327" s="121">
        <f t="shared" si="107"/>
        <v>60000</v>
      </c>
      <c r="I327" s="309">
        <v>60000</v>
      </c>
      <c r="J327" s="59">
        <v>60000</v>
      </c>
      <c r="K327" s="59">
        <v>60000</v>
      </c>
      <c r="L327" s="59"/>
      <c r="M327" s="59"/>
      <c r="N327" s="59"/>
      <c r="O327" s="39"/>
      <c r="P327" s="40"/>
      <c r="Q327" s="39"/>
    </row>
    <row r="328" spans="1:17" ht="12" customHeight="1" x14ac:dyDescent="0.3">
      <c r="A328" s="58" t="str">
        <v>спорт 1130387590.247.Э</v>
      </c>
      <c r="B328" s="55" t="str">
        <v>1102</v>
      </c>
      <c r="C328" s="56">
        <v>247</v>
      </c>
      <c r="D328" s="68">
        <v>223</v>
      </c>
      <c r="E328" s="167"/>
      <c r="F328" s="120">
        <f t="shared" si="107"/>
        <v>12067470</v>
      </c>
      <c r="G328" s="57">
        <f t="shared" si="107"/>
        <v>12756690</v>
      </c>
      <c r="H328" s="121">
        <f t="shared" si="107"/>
        <v>12756690</v>
      </c>
      <c r="I328" s="309">
        <v>12067470</v>
      </c>
      <c r="J328" s="59">
        <v>12756690</v>
      </c>
      <c r="K328" s="59">
        <v>12756690</v>
      </c>
      <c r="L328" s="59"/>
      <c r="M328" s="59"/>
      <c r="N328" s="59"/>
      <c r="O328" s="39"/>
      <c r="P328" s="40"/>
      <c r="Q328" s="39"/>
    </row>
    <row r="329" spans="1:17" ht="12" customHeight="1" x14ac:dyDescent="0.3">
      <c r="A329" s="232" t="str">
        <v/>
      </c>
      <c r="B329" s="233" t="str">
        <v/>
      </c>
      <c r="C329" s="234">
        <v>247</v>
      </c>
      <c r="D329" s="235">
        <v>223</v>
      </c>
      <c r="E329" s="236"/>
      <c r="F329" s="120">
        <f t="shared" si="107"/>
        <v>0</v>
      </c>
      <c r="G329" s="57">
        <f t="shared" si="107"/>
        <v>0</v>
      </c>
      <c r="H329" s="121">
        <f t="shared" si="107"/>
        <v>0</v>
      </c>
      <c r="I329" s="309"/>
      <c r="J329" s="59"/>
      <c r="K329" s="59"/>
      <c r="L329" s="59"/>
      <c r="M329" s="59"/>
      <c r="N329" s="59"/>
      <c r="O329" s="39"/>
      <c r="P329" s="40"/>
      <c r="Q329" s="39"/>
    </row>
    <row r="330" spans="1:17" ht="12" customHeight="1" x14ac:dyDescent="0.3">
      <c r="A330" s="285" t="s">
        <v>906</v>
      </c>
      <c r="B330" s="233"/>
      <c r="C330" s="235">
        <v>400</v>
      </c>
      <c r="D330" s="286"/>
      <c r="E330" s="287">
        <v>2700</v>
      </c>
      <c r="F330" s="124">
        <f>F334+F331</f>
        <v>0</v>
      </c>
      <c r="G330" s="57">
        <f t="shared" ref="G330:N330" si="108">G334+G331</f>
        <v>0</v>
      </c>
      <c r="H330" s="69">
        <f t="shared" si="108"/>
        <v>0</v>
      </c>
      <c r="I330" s="120">
        <f t="shared" si="108"/>
        <v>0</v>
      </c>
      <c r="J330" s="57">
        <f t="shared" si="108"/>
        <v>0</v>
      </c>
      <c r="K330" s="57">
        <f t="shared" si="108"/>
        <v>0</v>
      </c>
      <c r="L330" s="57">
        <f t="shared" si="108"/>
        <v>0</v>
      </c>
      <c r="M330" s="57">
        <f t="shared" si="108"/>
        <v>0</v>
      </c>
      <c r="N330" s="57">
        <f t="shared" si="108"/>
        <v>0</v>
      </c>
      <c r="O330" s="39"/>
      <c r="P330" s="40"/>
      <c r="Q330" s="39"/>
    </row>
    <row r="331" spans="1:17" ht="12" customHeight="1" x14ac:dyDescent="0.3">
      <c r="A331" s="288" t="s">
        <v>907</v>
      </c>
      <c r="B331" s="233"/>
      <c r="C331" s="235">
        <v>406</v>
      </c>
      <c r="D331" s="286"/>
      <c r="E331" s="287">
        <v>2710</v>
      </c>
      <c r="F331" s="124">
        <f>SUM(F332:F333)</f>
        <v>0</v>
      </c>
      <c r="G331" s="57">
        <f t="shared" ref="G331:N331" si="109">SUM(G332:G333)</f>
        <v>0</v>
      </c>
      <c r="H331" s="69">
        <f t="shared" si="109"/>
        <v>0</v>
      </c>
      <c r="I331" s="120">
        <f t="shared" si="109"/>
        <v>0</v>
      </c>
      <c r="J331" s="57">
        <f t="shared" si="109"/>
        <v>0</v>
      </c>
      <c r="K331" s="57">
        <f t="shared" si="109"/>
        <v>0</v>
      </c>
      <c r="L331" s="57">
        <f t="shared" si="109"/>
        <v>0</v>
      </c>
      <c r="M331" s="57">
        <f t="shared" si="109"/>
        <v>0</v>
      </c>
      <c r="N331" s="57">
        <f t="shared" si="109"/>
        <v>0</v>
      </c>
      <c r="O331" s="39"/>
      <c r="P331" s="40"/>
      <c r="Q331" s="39"/>
    </row>
    <row r="332" spans="1:17" ht="12" customHeight="1" x14ac:dyDescent="0.3">
      <c r="A332" s="232"/>
      <c r="B332" s="233"/>
      <c r="C332" s="235">
        <v>406</v>
      </c>
      <c r="D332" s="286"/>
      <c r="E332" s="287"/>
      <c r="F332" s="124">
        <f t="shared" si="107"/>
        <v>0</v>
      </c>
      <c r="G332" s="57">
        <f t="shared" si="107"/>
        <v>0</v>
      </c>
      <c r="H332" s="125">
        <f t="shared" si="107"/>
        <v>0</v>
      </c>
      <c r="I332" s="309"/>
      <c r="J332" s="59"/>
      <c r="K332" s="59"/>
      <c r="L332" s="59"/>
      <c r="M332" s="59"/>
      <c r="N332" s="59"/>
      <c r="O332" s="39"/>
      <c r="P332" s="40"/>
      <c r="Q332" s="39"/>
    </row>
    <row r="333" spans="1:17" ht="12" customHeight="1" x14ac:dyDescent="0.3">
      <c r="A333" s="232"/>
      <c r="B333" s="233"/>
      <c r="C333" s="235">
        <v>406</v>
      </c>
      <c r="D333" s="286"/>
      <c r="E333" s="287"/>
      <c r="F333" s="124">
        <f t="shared" si="107"/>
        <v>0</v>
      </c>
      <c r="G333" s="57">
        <f t="shared" si="107"/>
        <v>0</v>
      </c>
      <c r="H333" s="125">
        <f t="shared" si="107"/>
        <v>0</v>
      </c>
      <c r="I333" s="309"/>
      <c r="J333" s="59"/>
      <c r="K333" s="59"/>
      <c r="L333" s="59"/>
      <c r="M333" s="59"/>
      <c r="N333" s="59"/>
      <c r="O333" s="39"/>
      <c r="P333" s="40"/>
      <c r="Q333" s="39"/>
    </row>
    <row r="334" spans="1:17" ht="12" customHeight="1" x14ac:dyDescent="0.3">
      <c r="A334" s="288" t="s">
        <v>908</v>
      </c>
      <c r="B334" s="233"/>
      <c r="C334" s="235">
        <v>407</v>
      </c>
      <c r="D334" s="286"/>
      <c r="E334" s="287">
        <v>2720</v>
      </c>
      <c r="F334" s="124">
        <f>SUM(G335:G336)</f>
        <v>0</v>
      </c>
      <c r="G334" s="57">
        <f t="shared" ref="G334:N334" si="110">SUM(H335:H336)</f>
        <v>0</v>
      </c>
      <c r="H334" s="69">
        <f t="shared" si="110"/>
        <v>0</v>
      </c>
      <c r="I334" s="120">
        <f t="shared" si="110"/>
        <v>0</v>
      </c>
      <c r="J334" s="57">
        <f t="shared" si="110"/>
        <v>0</v>
      </c>
      <c r="K334" s="57">
        <f t="shared" si="110"/>
        <v>0</v>
      </c>
      <c r="L334" s="57">
        <f t="shared" si="110"/>
        <v>0</v>
      </c>
      <c r="M334" s="57">
        <f t="shared" si="110"/>
        <v>0</v>
      </c>
      <c r="N334" s="57">
        <f t="shared" si="110"/>
        <v>0</v>
      </c>
      <c r="O334" s="39"/>
      <c r="P334" s="40"/>
      <c r="Q334" s="39"/>
    </row>
    <row r="335" spans="1:17" ht="12" customHeight="1" x14ac:dyDescent="0.3">
      <c r="A335" s="232"/>
      <c r="B335" s="233"/>
      <c r="C335" s="235">
        <v>407</v>
      </c>
      <c r="D335" s="286"/>
      <c r="E335" s="287"/>
      <c r="F335" s="120">
        <f t="shared" si="107"/>
        <v>0</v>
      </c>
      <c r="G335" s="57">
        <f t="shared" si="107"/>
        <v>0</v>
      </c>
      <c r="H335" s="121">
        <f t="shared" si="107"/>
        <v>0</v>
      </c>
      <c r="I335" s="309"/>
      <c r="J335" s="59"/>
      <c r="K335" s="59"/>
      <c r="L335" s="59"/>
      <c r="M335" s="59"/>
      <c r="N335" s="59"/>
      <c r="O335" s="39"/>
      <c r="P335" s="40"/>
      <c r="Q335" s="39"/>
    </row>
    <row r="336" spans="1:17" ht="12" customHeight="1" thickBot="1" x14ac:dyDescent="0.35">
      <c r="A336" s="232"/>
      <c r="B336" s="233"/>
      <c r="C336" s="235">
        <v>407</v>
      </c>
      <c r="E336" s="287"/>
      <c r="F336" s="120">
        <f t="shared" ref="F336:H336" si="111">I336+L336</f>
        <v>0</v>
      </c>
      <c r="G336" s="57">
        <f t="shared" si="111"/>
        <v>0</v>
      </c>
      <c r="H336" s="121">
        <f t="shared" si="111"/>
        <v>0</v>
      </c>
      <c r="I336" s="310"/>
      <c r="J336" s="306"/>
      <c r="K336" s="306"/>
      <c r="L336" s="306"/>
      <c r="M336" s="306"/>
      <c r="N336" s="306"/>
      <c r="O336" s="39"/>
      <c r="P336" s="40"/>
      <c r="Q336" s="39"/>
    </row>
    <row r="337" spans="1:17" ht="12" customHeight="1" x14ac:dyDescent="0.3">
      <c r="A337" s="126" t="s">
        <v>690</v>
      </c>
      <c r="B337" s="127" t="s">
        <v>202</v>
      </c>
      <c r="C337" s="127" t="s">
        <v>202</v>
      </c>
      <c r="D337" s="137" t="s">
        <v>202</v>
      </c>
      <c r="E337" s="260">
        <v>3000</v>
      </c>
      <c r="F337" s="128">
        <f t="shared" ref="F337:N337" si="112">F338+F340+F341</f>
        <v>-25000</v>
      </c>
      <c r="G337" s="129">
        <f t="shared" si="112"/>
        <v>-25000</v>
      </c>
      <c r="H337" s="130">
        <f t="shared" si="112"/>
        <v>-25000</v>
      </c>
      <c r="I337" s="131">
        <f t="shared" si="112"/>
        <v>-25000</v>
      </c>
      <c r="J337" s="129">
        <f t="shared" si="112"/>
        <v>-25000</v>
      </c>
      <c r="K337" s="129">
        <f t="shared" si="112"/>
        <v>-25000</v>
      </c>
      <c r="L337" s="129">
        <f t="shared" si="112"/>
        <v>0</v>
      </c>
      <c r="M337" s="129">
        <f t="shared" si="112"/>
        <v>0</v>
      </c>
      <c r="N337" s="129">
        <f t="shared" si="112"/>
        <v>0</v>
      </c>
      <c r="O337" s="39">
        <f>ROW()</f>
        <v>337</v>
      </c>
      <c r="P337" s="40"/>
      <c r="Q337" s="39"/>
    </row>
    <row r="338" spans="1:17" ht="12" customHeight="1" x14ac:dyDescent="0.3">
      <c r="A338" s="62" t="s">
        <v>691</v>
      </c>
      <c r="B338" s="55" t="s">
        <v>202</v>
      </c>
      <c r="C338" s="55" t="s">
        <v>202</v>
      </c>
      <c r="D338" s="138" t="s">
        <v>202</v>
      </c>
      <c r="E338" s="261">
        <v>3010</v>
      </c>
      <c r="F338" s="124">
        <f>SUM(F339)</f>
        <v>0</v>
      </c>
      <c r="G338" s="57">
        <f t="shared" ref="G338:N338" si="113">SUM(G339)</f>
        <v>0</v>
      </c>
      <c r="H338" s="72">
        <f t="shared" si="113"/>
        <v>0</v>
      </c>
      <c r="I338" s="124">
        <f t="shared" si="113"/>
        <v>0</v>
      </c>
      <c r="J338" s="57">
        <f t="shared" si="113"/>
        <v>0</v>
      </c>
      <c r="K338" s="57">
        <f t="shared" si="113"/>
        <v>0</v>
      </c>
      <c r="L338" s="57">
        <f t="shared" si="113"/>
        <v>0</v>
      </c>
      <c r="M338" s="57">
        <f t="shared" si="113"/>
        <v>0</v>
      </c>
      <c r="N338" s="69">
        <f t="shared" si="113"/>
        <v>0</v>
      </c>
      <c r="O338" s="14" t="s">
        <v>565</v>
      </c>
      <c r="P338" s="40"/>
      <c r="Q338" s="39"/>
    </row>
    <row r="339" spans="1:17" ht="12" customHeight="1" x14ac:dyDescent="0.3">
      <c r="A339" s="58" t="str">
        <f t="array" ref="A339">IFERROR(INDEX(КБК!E4:E1045,SMALL(IF((($D$339=КБК!F4:F1045)*($C$339=КБК!G4:G1045)*(NOT(ISERR(SEARCH($O$1,КБК!D4:D1045))))),ROW(КБК!E4:E1045)-3,""),ROW()-$O$339+1)),"")</f>
        <v>доходы 0000000131.180.0</v>
      </c>
      <c r="B339" s="55" t="str">
        <f t="array" ref="B339">IFERROR(INDEX(КБК!H4:H1045,SMALL(IF((($D$339=КБК!F4:F1045)*($C$339=КБК!G4:G1045)*(NOT(ISERR(SEARCH($O$1,КБК!D4:D1045))))),ROW(КБК!E4:E1045)-3,""),ROW()-$O$339+1)),"")</f>
        <v>1102</v>
      </c>
      <c r="C339" s="55">
        <v>180</v>
      </c>
      <c r="D339" s="138">
        <v>189</v>
      </c>
      <c r="E339" s="261"/>
      <c r="F339" s="124">
        <f>I339+L339</f>
        <v>0</v>
      </c>
      <c r="G339" s="57">
        <f t="shared" ref="G339:H339" si="114">J339+M339</f>
        <v>0</v>
      </c>
      <c r="H339" s="121">
        <f t="shared" si="114"/>
        <v>0</v>
      </c>
      <c r="I339" s="71"/>
      <c r="J339" s="59"/>
      <c r="K339" s="71"/>
      <c r="L339" s="59"/>
      <c r="M339" s="59"/>
      <c r="N339" s="59"/>
      <c r="O339" s="14">
        <f>ROW()</f>
        <v>339</v>
      </c>
      <c r="P339" s="40"/>
      <c r="Q339" s="39"/>
    </row>
    <row r="340" spans="1:17" ht="12" customHeight="1" x14ac:dyDescent="0.3">
      <c r="A340" s="62" t="s">
        <v>692</v>
      </c>
      <c r="B340" s="55" t="s">
        <v>202</v>
      </c>
      <c r="C340" s="55" t="s">
        <v>202</v>
      </c>
      <c r="D340" s="138" t="s">
        <v>202</v>
      </c>
      <c r="E340" s="226">
        <v>3020</v>
      </c>
      <c r="F340" s="120">
        <f>I340+L340</f>
        <v>0</v>
      </c>
      <c r="G340" s="57">
        <f>J340+M340</f>
        <v>0</v>
      </c>
      <c r="H340" s="121">
        <f>K340+N340</f>
        <v>0</v>
      </c>
      <c r="I340" s="69"/>
      <c r="J340" s="57"/>
      <c r="K340" s="57"/>
      <c r="L340" s="57"/>
      <c r="M340" s="57"/>
      <c r="N340" s="57"/>
      <c r="O340" s="14" t="s">
        <v>565</v>
      </c>
      <c r="P340" s="33"/>
    </row>
    <row r="341" spans="1:17" ht="12" customHeight="1" x14ac:dyDescent="0.3">
      <c r="A341" s="62" t="s">
        <v>693</v>
      </c>
      <c r="B341" s="55" t="s">
        <v>202</v>
      </c>
      <c r="C341" s="55" t="s">
        <v>202</v>
      </c>
      <c r="D341" s="138" t="s">
        <v>202</v>
      </c>
      <c r="E341" s="261">
        <v>3030</v>
      </c>
      <c r="F341" s="124">
        <f>SUM(F342)</f>
        <v>-25000</v>
      </c>
      <c r="G341" s="57">
        <f t="shared" ref="G341:N341" si="115">SUM(G342)</f>
        <v>-25000</v>
      </c>
      <c r="H341" s="69">
        <f t="shared" si="115"/>
        <v>-25000</v>
      </c>
      <c r="I341" s="124">
        <f t="shared" si="115"/>
        <v>-25000</v>
      </c>
      <c r="J341" s="57">
        <f t="shared" si="115"/>
        <v>-25000</v>
      </c>
      <c r="K341" s="57">
        <f t="shared" si="115"/>
        <v>-25000</v>
      </c>
      <c r="L341" s="57">
        <f t="shared" si="115"/>
        <v>0</v>
      </c>
      <c r="M341" s="57">
        <f t="shared" si="115"/>
        <v>0</v>
      </c>
      <c r="N341" s="69">
        <f t="shared" si="115"/>
        <v>0</v>
      </c>
      <c r="O341" s="14" t="s">
        <v>565</v>
      </c>
      <c r="P341" s="33"/>
    </row>
    <row r="342" spans="1:17" ht="12" customHeight="1" thickBot="1" x14ac:dyDescent="0.35">
      <c r="A342" s="104" t="str">
        <f t="array" ref="A342">IFERROR(INDEX(КБК!E4:E1045,SMALL(IF((($D$342=КБК!F4:F1045)*($C$342=КБК!G4:G1045)*(NOT(ISERR(SEARCH($O$1,КБК!D4:D1045))))),ROW(КБК!E4:E1045)-3,""),ROW()-$O$342+1)),"")</f>
        <v>доходы 0000000131.180.0</v>
      </c>
      <c r="B342" s="105" t="str">
        <f t="array" ref="B342">IFERROR(INDEX(КБК!H4:H1045,SMALL(IF((($D$342=КБК!F4:F1045)*($C$342=КБК!G4:G1045)*(NOT(ISERR(SEARCH($O$1,КБК!D4:D1045))))),ROW(КБК!E4:E1045)-3,""),ROW()-$O$342+1)),"")</f>
        <v>1102</v>
      </c>
      <c r="C342" s="105">
        <v>180</v>
      </c>
      <c r="D342" s="262">
        <v>189</v>
      </c>
      <c r="E342" s="263"/>
      <c r="F342" s="165">
        <f>I342+L342</f>
        <v>-25000</v>
      </c>
      <c r="G342" s="73">
        <f t="shared" ref="G342:H342" si="116">J342+M342</f>
        <v>-25000</v>
      </c>
      <c r="H342" s="123">
        <f t="shared" si="116"/>
        <v>-25000</v>
      </c>
      <c r="I342" s="108">
        <v>-25000</v>
      </c>
      <c r="J342" s="108">
        <v>-25000</v>
      </c>
      <c r="K342" s="108">
        <v>-25000</v>
      </c>
      <c r="L342" s="74"/>
      <c r="M342" s="108"/>
      <c r="N342" s="74"/>
      <c r="O342" s="14">
        <f>ROW()</f>
        <v>342</v>
      </c>
      <c r="P342" s="33"/>
    </row>
    <row r="343" spans="1:17" ht="12" customHeight="1" x14ac:dyDescent="0.3">
      <c r="A343" s="126" t="s">
        <v>321</v>
      </c>
      <c r="B343" s="127" t="s">
        <v>202</v>
      </c>
      <c r="C343" s="133" t="s">
        <v>202</v>
      </c>
      <c r="D343" s="134" t="s">
        <v>202</v>
      </c>
      <c r="E343" s="264">
        <v>4000</v>
      </c>
      <c r="F343" s="259">
        <f t="shared" ref="F343:N343" si="117">F344</f>
        <v>0</v>
      </c>
      <c r="G343" s="129">
        <f t="shared" si="117"/>
        <v>0</v>
      </c>
      <c r="H343" s="265">
        <f t="shared" si="117"/>
        <v>0</v>
      </c>
      <c r="I343" s="266">
        <f t="shared" si="117"/>
        <v>0</v>
      </c>
      <c r="J343" s="266">
        <f t="shared" si="117"/>
        <v>0</v>
      </c>
      <c r="K343" s="266">
        <f t="shared" si="117"/>
        <v>0</v>
      </c>
      <c r="L343" s="129">
        <f t="shared" si="117"/>
        <v>0</v>
      </c>
      <c r="M343" s="266">
        <f t="shared" si="117"/>
        <v>0</v>
      </c>
      <c r="N343" s="129">
        <f t="shared" si="117"/>
        <v>0</v>
      </c>
      <c r="O343" s="14"/>
      <c r="P343" s="33"/>
    </row>
    <row r="344" spans="1:17" ht="12" customHeight="1" x14ac:dyDescent="0.3">
      <c r="A344" s="63" t="s">
        <v>322</v>
      </c>
      <c r="B344" s="55" t="s">
        <v>202</v>
      </c>
      <c r="C344" s="64">
        <v>610</v>
      </c>
      <c r="D344" s="66">
        <v>610</v>
      </c>
      <c r="E344" s="226">
        <v>4010</v>
      </c>
      <c r="F344" s="120">
        <f t="shared" ref="F344:N344" si="118">SUM(F345:F346)</f>
        <v>0</v>
      </c>
      <c r="G344" s="57">
        <f t="shared" si="118"/>
        <v>0</v>
      </c>
      <c r="H344" s="121">
        <f t="shared" si="118"/>
        <v>0</v>
      </c>
      <c r="I344" s="69">
        <f t="shared" si="118"/>
        <v>0</v>
      </c>
      <c r="J344" s="69">
        <f t="shared" si="118"/>
        <v>0</v>
      </c>
      <c r="K344" s="69">
        <f t="shared" si="118"/>
        <v>0</v>
      </c>
      <c r="L344" s="57">
        <f t="shared" si="118"/>
        <v>0</v>
      </c>
      <c r="M344" s="69">
        <f t="shared" si="118"/>
        <v>0</v>
      </c>
      <c r="N344" s="69">
        <f t="shared" si="118"/>
        <v>0</v>
      </c>
      <c r="O344" s="14">
        <f>ROW()</f>
        <v>344</v>
      </c>
      <c r="P344" s="33"/>
    </row>
    <row r="345" spans="1:17" ht="12" customHeight="1" x14ac:dyDescent="0.3">
      <c r="A345" s="58" t="str">
        <f t="array" ref="A345:A346">IFERROR(INDEX(КБК!E4:E1045,SMALL(IF((($D$344=КБК!F4:F1045)*($C$344=КБК!G4:G1045)*(NOT(ISERR(SEARCH($O$1,КБК!D4:D1045))))),ROW(КБК!E4:E1045)-КБК!A4+1,""),ROW()-$O$344)),"")</f>
        <v>спорт 1130387590.610.0</v>
      </c>
      <c r="B345" s="55" t="str">
        <f t="array" ref="B345:B346">IFERROR(INDEX(КБК!H4:H1045,SMALL(IF((($D$344=КБК!F4:F1045)*($C$344=КБК!G4:G1045)*(NOT(ISERR(SEARCH($O$1,КБК!D4:D1045))))),ROW(КБК!E4:E1045)-3,""),ROW()-$O$344)),"")</f>
        <v>1102</v>
      </c>
      <c r="C345" s="64">
        <v>610</v>
      </c>
      <c r="D345" s="66">
        <v>610</v>
      </c>
      <c r="E345" s="226"/>
      <c r="F345" s="122">
        <f t="shared" ref="F345:H346" si="119">I345+L345</f>
        <v>0</v>
      </c>
      <c r="G345" s="73">
        <f t="shared" si="119"/>
        <v>0</v>
      </c>
      <c r="H345" s="123">
        <f t="shared" si="119"/>
        <v>0</v>
      </c>
      <c r="I345" s="70"/>
      <c r="J345" s="59"/>
      <c r="K345" s="59"/>
      <c r="L345" s="59"/>
      <c r="M345" s="70"/>
      <c r="N345" s="59"/>
      <c r="O345" s="14"/>
      <c r="P345" s="33"/>
    </row>
    <row r="346" spans="1:17" ht="12" customHeight="1" thickBot="1" x14ac:dyDescent="0.35">
      <c r="A346" s="58" t="str">
        <v/>
      </c>
      <c r="B346" s="55" t="str">
        <v/>
      </c>
      <c r="C346" s="64">
        <v>610</v>
      </c>
      <c r="D346" s="66">
        <v>610</v>
      </c>
      <c r="E346" s="226"/>
      <c r="F346" s="147">
        <f t="shared" si="119"/>
        <v>0</v>
      </c>
      <c r="G346" s="148">
        <f t="shared" si="119"/>
        <v>0</v>
      </c>
      <c r="H346" s="149">
        <f t="shared" si="119"/>
        <v>0</v>
      </c>
      <c r="I346" s="70"/>
      <c r="J346" s="59"/>
      <c r="K346" s="59"/>
      <c r="L346" s="59"/>
      <c r="M346" s="70"/>
      <c r="N346" s="59"/>
      <c r="O346" s="14"/>
      <c r="P346" s="33"/>
    </row>
    <row r="347" spans="1:17" ht="12" customHeight="1" x14ac:dyDescent="0.3">
      <c r="A347" s="454" t="str">
        <f>O2</f>
        <v/>
      </c>
      <c r="B347" s="439"/>
      <c r="C347" s="439"/>
      <c r="D347" s="439"/>
      <c r="E347" s="439"/>
      <c r="F347" s="439"/>
      <c r="G347" s="439"/>
      <c r="N347" s="16"/>
      <c r="O347" s="14"/>
      <c r="P347" s="33"/>
    </row>
    <row r="348" spans="1:17" ht="12" customHeight="1" x14ac:dyDescent="0.3">
      <c r="A348" s="439"/>
      <c r="B348" s="439"/>
      <c r="C348" s="439"/>
      <c r="D348" s="439"/>
      <c r="E348" s="439"/>
      <c r="F348" s="439"/>
      <c r="G348" s="439"/>
      <c r="H348" s="417" t="str">
        <f>IFERROR(INDEX(УЧРЕЖДЕНИЯ!$L$14:$L$52,MATCH(ТИТУЛ!$CO$20,УЧРЕЖДЕНИЯ!$C$14:$C$52,0)),"")</f>
        <v>Главный бухгалтер</v>
      </c>
      <c r="I348" s="418"/>
      <c r="J348" s="414" t="str">
        <f>IF(OR(O2="НЕ ВЕРНО",O3="НЕ ЗАПОЛНЕНО"),"НЕТ ПОДПИСИ","")</f>
        <v/>
      </c>
      <c r="K348" s="415"/>
      <c r="L348" s="427" t="str">
        <f>IFERROR(INDEX(УЧРЕЖДЕНИЯ!$M$14:$M$52,MATCH(ТИТУЛ!$CO$20,УЧРЕЖДЕНИЯ!$C$14:$C$52,0)),"")</f>
        <v>Артемьева Елизавета Михайловна</v>
      </c>
      <c r="M348" s="317"/>
      <c r="N348" s="317"/>
      <c r="O348" s="14"/>
      <c r="P348" s="33"/>
    </row>
    <row r="349" spans="1:17" ht="12" customHeight="1" x14ac:dyDescent="0.3">
      <c r="A349" s="455" t="str">
        <f>O3</f>
        <v/>
      </c>
      <c r="B349" s="439"/>
      <c r="C349" s="439"/>
      <c r="D349" s="439"/>
      <c r="E349" s="439"/>
      <c r="F349" s="439"/>
      <c r="G349" s="439"/>
      <c r="H349" s="419"/>
      <c r="I349" s="419"/>
      <c r="J349" s="416"/>
      <c r="K349" s="416"/>
      <c r="L349" s="317"/>
      <c r="M349" s="317"/>
      <c r="N349" s="317"/>
      <c r="O349" s="14"/>
      <c r="P349" s="33"/>
    </row>
    <row r="350" spans="1:17" ht="12" customHeight="1" x14ac:dyDescent="0.3">
      <c r="A350" s="439"/>
      <c r="B350" s="439"/>
      <c r="C350" s="439"/>
      <c r="D350" s="439"/>
      <c r="E350" s="439"/>
      <c r="F350" s="439"/>
      <c r="G350" s="439"/>
      <c r="H350" s="452"/>
      <c r="I350" s="456"/>
      <c r="J350" s="412" t="s">
        <v>143</v>
      </c>
      <c r="K350" s="412"/>
      <c r="L350" s="46"/>
      <c r="M350" s="45"/>
      <c r="N350" s="45"/>
      <c r="O350" s="14"/>
      <c r="P350" s="33"/>
    </row>
    <row r="351" spans="1:17" ht="12" customHeight="1" x14ac:dyDescent="0.3">
      <c r="A351" s="438" t="str">
        <f>IF(L351="","НЕ УКАЗАН ИСПОЛНИТЕЛЬ","")</f>
        <v/>
      </c>
      <c r="B351" s="438"/>
      <c r="C351" s="438"/>
      <c r="D351" s="438"/>
      <c r="E351" s="438"/>
      <c r="F351" s="439"/>
      <c r="G351" s="439"/>
      <c r="H351" s="417" t="s">
        <v>324</v>
      </c>
      <c r="I351" s="457"/>
      <c r="J351" s="458" t="str">
        <f>IF(L351="","НЕТ ПОДПИСИ","")</f>
        <v/>
      </c>
      <c r="K351" s="459"/>
      <c r="L351" s="428" t="s">
        <v>740</v>
      </c>
      <c r="M351" s="429"/>
      <c r="N351" s="429"/>
      <c r="O351" s="14"/>
      <c r="P351" s="33"/>
    </row>
    <row r="352" spans="1:17" ht="12" customHeight="1" x14ac:dyDescent="0.3">
      <c r="A352" s="438"/>
      <c r="B352" s="438"/>
      <c r="C352" s="438"/>
      <c r="D352" s="438"/>
      <c r="E352" s="438"/>
      <c r="F352" s="439"/>
      <c r="G352" s="439"/>
      <c r="H352" s="457"/>
      <c r="I352" s="457"/>
      <c r="J352" s="459"/>
      <c r="K352" s="459"/>
      <c r="L352" s="429"/>
      <c r="M352" s="429"/>
      <c r="N352" s="429"/>
      <c r="O352" s="14"/>
      <c r="P352" s="33"/>
    </row>
    <row r="353" spans="1:16" ht="12" customHeight="1" x14ac:dyDescent="0.3">
      <c r="A353" s="438"/>
      <c r="B353" s="438"/>
      <c r="C353" s="438"/>
      <c r="D353" s="438"/>
      <c r="E353" s="438"/>
      <c r="F353" s="439"/>
      <c r="G353" s="439"/>
      <c r="H353" s="177"/>
      <c r="I353" s="177"/>
      <c r="J353" s="413" t="s">
        <v>143</v>
      </c>
      <c r="K353" s="413"/>
      <c r="L353" s="452" t="s">
        <v>325</v>
      </c>
      <c r="M353" s="453"/>
      <c r="N353" s="453"/>
      <c r="O353" s="14"/>
      <c r="P353" s="33"/>
    </row>
    <row r="354" spans="1:16" ht="12" customHeight="1" x14ac:dyDescent="0.3">
      <c r="A354" s="196"/>
      <c r="B354" s="196"/>
      <c r="C354" s="196"/>
      <c r="D354" s="196"/>
      <c r="E354" s="196"/>
      <c r="F354" s="197"/>
      <c r="G354" s="197"/>
      <c r="H354" s="198"/>
      <c r="I354" s="198"/>
      <c r="J354" s="23"/>
      <c r="K354" s="23"/>
      <c r="L354" s="23"/>
      <c r="M354" s="23"/>
      <c r="N354" s="23"/>
      <c r="O354" s="14"/>
      <c r="P354" s="33"/>
    </row>
    <row r="355" spans="1:16" ht="12" customHeight="1" x14ac:dyDescent="0.3">
      <c r="A355" s="196"/>
      <c r="B355" s="196"/>
      <c r="C355" s="196"/>
      <c r="D355" s="196"/>
      <c r="E355" s="196"/>
      <c r="F355" s="197"/>
      <c r="G355" s="197"/>
      <c r="H355" s="47"/>
      <c r="I355" s="199"/>
      <c r="J355" s="200"/>
      <c r="K355" s="200"/>
      <c r="L355" s="200"/>
      <c r="M355" s="200"/>
      <c r="N355" s="198"/>
    </row>
    <row r="356" spans="1:16" ht="12" customHeight="1" x14ac:dyDescent="0.3">
      <c r="A356" s="196"/>
      <c r="B356" s="196"/>
      <c r="C356" s="196"/>
      <c r="D356" s="196"/>
      <c r="E356" s="196"/>
      <c r="F356" s="197"/>
      <c r="G356" s="197"/>
      <c r="H356" s="201"/>
      <c r="I356" s="202"/>
      <c r="J356" s="192"/>
      <c r="K356" s="193"/>
      <c r="L356" s="203"/>
      <c r="M356" s="204"/>
      <c r="N356" s="204"/>
    </row>
    <row r="357" spans="1:16" ht="12" customHeight="1" x14ac:dyDescent="0.3">
      <c r="A357" s="205"/>
      <c r="B357" s="206"/>
      <c r="C357" s="206"/>
      <c r="D357" s="207"/>
      <c r="E357" s="206"/>
      <c r="F357" s="206"/>
      <c r="G357" s="206"/>
      <c r="H357" s="202"/>
      <c r="I357" s="202"/>
      <c r="J357" s="193"/>
      <c r="K357" s="193"/>
      <c r="L357" s="204"/>
      <c r="M357" s="204"/>
      <c r="N357" s="204"/>
    </row>
    <row r="358" spans="1:16" ht="12" customHeight="1" x14ac:dyDescent="0.3">
      <c r="A358" s="208"/>
      <c r="B358" s="206"/>
      <c r="C358" s="206"/>
      <c r="D358" s="207"/>
      <c r="E358" s="206"/>
      <c r="F358" s="206"/>
      <c r="G358" s="206"/>
      <c r="H358" s="209"/>
      <c r="I358" s="209"/>
      <c r="J358" s="194"/>
      <c r="K358" s="195"/>
      <c r="L358" s="23"/>
      <c r="M358" s="23"/>
      <c r="N358" s="23"/>
    </row>
    <row r="359" spans="1:16" ht="12" customHeight="1" x14ac:dyDescent="0.3">
      <c r="A359" s="26"/>
      <c r="B359" s="27"/>
      <c r="C359" s="28"/>
      <c r="D359" s="168"/>
      <c r="E359" s="28"/>
      <c r="F359" s="28"/>
      <c r="G359" s="28"/>
      <c r="H359" s="28"/>
      <c r="I359" s="28"/>
      <c r="J359" s="28"/>
      <c r="K359" s="28"/>
      <c r="L359" s="28"/>
      <c r="M359" s="28"/>
    </row>
    <row r="360" spans="1:16" ht="12" customHeight="1" x14ac:dyDescent="0.3">
      <c r="A360" s="26"/>
      <c r="B360" s="27"/>
      <c r="C360" s="28"/>
      <c r="D360" s="168"/>
      <c r="E360" s="28"/>
      <c r="F360" s="28"/>
      <c r="G360" s="28"/>
      <c r="H360" s="28"/>
      <c r="I360" s="28"/>
      <c r="J360" s="29"/>
      <c r="K360" s="28"/>
      <c r="L360" s="28"/>
      <c r="M360" s="28"/>
    </row>
    <row r="361" spans="1:16" ht="12" customHeight="1" x14ac:dyDescent="0.3">
      <c r="A361" s="30"/>
      <c r="B361" s="28"/>
      <c r="C361" s="28"/>
      <c r="D361" s="168"/>
      <c r="E361" s="28"/>
      <c r="F361" s="28"/>
      <c r="G361" s="28"/>
      <c r="H361" s="28"/>
      <c r="I361" s="28"/>
      <c r="J361" s="28"/>
      <c r="K361" s="28"/>
      <c r="L361" s="28"/>
      <c r="M361" s="28"/>
    </row>
    <row r="362" spans="1:16" ht="12" customHeight="1" x14ac:dyDescent="0.3">
      <c r="A362" s="30"/>
      <c r="B362" s="28"/>
      <c r="C362" s="28"/>
      <c r="D362" s="168"/>
      <c r="E362" s="28"/>
      <c r="F362" s="28"/>
      <c r="G362" s="28"/>
      <c r="H362" s="28"/>
      <c r="I362" s="28"/>
      <c r="J362" s="28"/>
      <c r="K362" s="28"/>
      <c r="L362" s="28"/>
      <c r="M362" s="28"/>
    </row>
    <row r="363" spans="1:16" ht="12" customHeight="1" x14ac:dyDescent="0.3">
      <c r="A363" s="30"/>
      <c r="B363" s="28"/>
      <c r="C363" s="28"/>
      <c r="D363" s="168"/>
      <c r="E363" s="28"/>
      <c r="F363" s="28"/>
      <c r="G363" s="28"/>
      <c r="H363" s="28"/>
      <c r="I363" s="28"/>
      <c r="J363" s="28"/>
      <c r="K363" s="28"/>
      <c r="L363" s="28"/>
      <c r="M363" s="28"/>
    </row>
    <row r="364" spans="1:16" ht="12" customHeight="1" x14ac:dyDescent="0.3">
      <c r="A364" s="30"/>
      <c r="B364" s="28"/>
      <c r="C364" s="28"/>
      <c r="D364" s="168"/>
      <c r="E364" s="28"/>
      <c r="F364" s="28"/>
      <c r="G364" s="28"/>
      <c r="H364" s="28"/>
      <c r="I364" s="28"/>
      <c r="J364" s="28"/>
      <c r="K364" s="28"/>
      <c r="L364" s="28"/>
      <c r="M364" s="28"/>
    </row>
    <row r="365" spans="1:16" ht="12" customHeight="1" x14ac:dyDescent="0.3">
      <c r="A365" s="30"/>
      <c r="B365" s="28"/>
      <c r="C365" s="28"/>
      <c r="D365" s="168"/>
      <c r="E365" s="28"/>
      <c r="F365" s="28"/>
      <c r="G365" s="28"/>
      <c r="H365" s="28"/>
      <c r="I365" s="28"/>
      <c r="J365" s="28"/>
      <c r="K365" s="28"/>
      <c r="L365" s="28"/>
      <c r="M365" s="28"/>
    </row>
    <row r="366" spans="1:16" ht="12" customHeight="1" x14ac:dyDescent="0.3">
      <c r="A366" s="30"/>
      <c r="B366" s="28"/>
      <c r="C366" s="28"/>
      <c r="D366" s="168"/>
      <c r="E366" s="28"/>
      <c r="F366" s="28"/>
      <c r="G366" s="28"/>
      <c r="H366" s="28"/>
      <c r="I366" s="28"/>
      <c r="J366" s="28"/>
      <c r="K366" s="28"/>
      <c r="L366" s="28"/>
      <c r="M366" s="28"/>
    </row>
    <row r="367" spans="1:16" ht="12" customHeight="1" x14ac:dyDescent="0.3">
      <c r="A367" s="30"/>
      <c r="B367" s="28"/>
      <c r="C367" s="28"/>
      <c r="D367" s="168"/>
      <c r="E367" s="28"/>
      <c r="F367" s="28"/>
      <c r="G367" s="28"/>
      <c r="H367" s="28"/>
      <c r="I367" s="28"/>
      <c r="J367" s="28"/>
      <c r="K367" s="28"/>
      <c r="L367" s="28"/>
      <c r="M367" s="28"/>
    </row>
    <row r="368" spans="1:16" ht="12" customHeight="1" x14ac:dyDescent="0.3">
      <c r="A368" s="30"/>
      <c r="B368" s="28"/>
      <c r="C368" s="28"/>
      <c r="D368" s="168"/>
      <c r="E368" s="28"/>
      <c r="F368" s="28"/>
      <c r="G368" s="28"/>
      <c r="H368" s="28"/>
      <c r="I368" s="28"/>
      <c r="J368" s="28"/>
      <c r="K368" s="28"/>
      <c r="L368" s="28"/>
      <c r="M368" s="28"/>
    </row>
    <row r="369" spans="1:13" ht="12" customHeight="1" x14ac:dyDescent="0.3">
      <c r="A369" s="30"/>
      <c r="B369" s="28"/>
      <c r="C369" s="28"/>
      <c r="D369" s="168"/>
      <c r="E369" s="28"/>
      <c r="F369" s="28"/>
      <c r="G369" s="28"/>
      <c r="H369" s="28"/>
      <c r="I369" s="28"/>
      <c r="J369" s="28"/>
      <c r="K369" s="28"/>
      <c r="L369" s="28"/>
      <c r="M369" s="28"/>
    </row>
    <row r="370" spans="1:13" ht="12" customHeight="1" x14ac:dyDescent="0.3">
      <c r="A370" s="30"/>
      <c r="B370" s="28"/>
      <c r="C370" s="28"/>
      <c r="D370" s="168"/>
      <c r="E370" s="28"/>
      <c r="F370" s="28"/>
      <c r="G370" s="28"/>
      <c r="H370" s="28"/>
      <c r="I370" s="28"/>
      <c r="J370" s="28"/>
      <c r="K370" s="28"/>
      <c r="L370" s="28"/>
      <c r="M370" s="28"/>
    </row>
    <row r="371" spans="1:13" ht="12" customHeight="1" x14ac:dyDescent="0.3">
      <c r="A371" s="30"/>
      <c r="B371" s="28"/>
      <c r="C371" s="28"/>
      <c r="D371" s="168"/>
      <c r="E371" s="28"/>
      <c r="F371" s="28"/>
      <c r="G371" s="28"/>
      <c r="H371" s="28"/>
      <c r="I371" s="28"/>
      <c r="J371" s="28"/>
      <c r="K371" s="28"/>
      <c r="L371" s="28"/>
      <c r="M371" s="28"/>
    </row>
    <row r="372" spans="1:13" ht="12" customHeight="1" x14ac:dyDescent="0.3">
      <c r="A372" s="30"/>
      <c r="B372" s="28"/>
      <c r="C372" s="28"/>
      <c r="D372" s="168"/>
      <c r="E372" s="28"/>
      <c r="F372" s="28"/>
      <c r="G372" s="28"/>
      <c r="H372" s="28"/>
      <c r="I372" s="28"/>
      <c r="J372" s="28"/>
      <c r="K372" s="28"/>
      <c r="L372" s="28"/>
      <c r="M372" s="28"/>
    </row>
    <row r="373" spans="1:13" ht="12" customHeight="1" x14ac:dyDescent="0.3">
      <c r="A373" s="30"/>
      <c r="B373" s="28"/>
      <c r="C373" s="28"/>
      <c r="D373" s="168"/>
      <c r="E373" s="28"/>
      <c r="F373" s="28"/>
      <c r="G373" s="28"/>
      <c r="H373" s="28"/>
      <c r="I373" s="28"/>
      <c r="J373" s="28"/>
      <c r="K373" s="28"/>
      <c r="L373" s="28"/>
      <c r="M373" s="28"/>
    </row>
    <row r="374" spans="1:13" ht="12" customHeight="1" x14ac:dyDescent="0.3">
      <c r="A374" s="30"/>
      <c r="B374" s="28"/>
      <c r="C374" s="28"/>
      <c r="D374" s="168"/>
      <c r="E374" s="28"/>
      <c r="F374" s="28"/>
      <c r="G374" s="28"/>
      <c r="H374" s="28"/>
      <c r="I374" s="28"/>
      <c r="J374" s="28"/>
      <c r="K374" s="28"/>
      <c r="L374" s="28"/>
      <c r="M374" s="28"/>
    </row>
    <row r="375" spans="1:13" ht="12" customHeight="1" x14ac:dyDescent="0.3">
      <c r="A375" s="30"/>
      <c r="B375" s="28"/>
      <c r="C375" s="28"/>
      <c r="D375" s="168"/>
      <c r="E375" s="28"/>
      <c r="F375" s="28"/>
      <c r="G375" s="28"/>
      <c r="H375" s="28"/>
      <c r="I375" s="28"/>
      <c r="J375" s="28"/>
      <c r="K375" s="28"/>
      <c r="L375" s="28"/>
      <c r="M375" s="28"/>
    </row>
    <row r="376" spans="1:13" ht="12" customHeight="1" x14ac:dyDescent="0.3">
      <c r="A376" s="30"/>
      <c r="B376" s="28"/>
      <c r="C376" s="28"/>
      <c r="D376" s="168"/>
      <c r="E376" s="28"/>
      <c r="F376" s="28"/>
      <c r="G376" s="28"/>
      <c r="H376" s="28"/>
      <c r="I376" s="28"/>
      <c r="J376" s="28"/>
      <c r="K376" s="28"/>
      <c r="L376" s="28"/>
      <c r="M376" s="28"/>
    </row>
    <row r="377" spans="1:13" ht="12" customHeight="1" x14ac:dyDescent="0.3">
      <c r="A377" s="30"/>
      <c r="B377" s="28"/>
      <c r="C377" s="28"/>
      <c r="D377" s="168"/>
      <c r="E377" s="28"/>
      <c r="F377" s="28"/>
      <c r="G377" s="28"/>
      <c r="H377" s="28"/>
      <c r="I377" s="28"/>
      <c r="J377" s="28"/>
      <c r="K377" s="28"/>
      <c r="L377" s="28"/>
      <c r="M377" s="28"/>
    </row>
    <row r="378" spans="1:13" ht="12" customHeight="1" x14ac:dyDescent="0.3">
      <c r="A378" s="30"/>
      <c r="B378" s="28"/>
      <c r="C378" s="28"/>
      <c r="D378" s="168"/>
      <c r="E378" s="28"/>
      <c r="F378" s="28"/>
      <c r="G378" s="28"/>
      <c r="H378" s="28"/>
      <c r="I378" s="28"/>
      <c r="J378" s="28"/>
      <c r="K378" s="28"/>
      <c r="L378" s="28"/>
      <c r="M378" s="28"/>
    </row>
    <row r="379" spans="1:13" ht="12" customHeight="1" x14ac:dyDescent="0.3">
      <c r="A379" s="30"/>
      <c r="B379" s="28"/>
      <c r="C379" s="28"/>
      <c r="D379" s="168"/>
      <c r="E379" s="28"/>
      <c r="F379" s="28"/>
      <c r="G379" s="28"/>
      <c r="H379" s="28"/>
      <c r="I379" s="28"/>
      <c r="J379" s="28"/>
      <c r="K379" s="28"/>
      <c r="L379" s="28"/>
      <c r="M379" s="28"/>
    </row>
    <row r="380" spans="1:13" ht="12" customHeight="1" x14ac:dyDescent="0.3">
      <c r="A380" s="30"/>
      <c r="B380" s="28"/>
      <c r="C380" s="28"/>
      <c r="D380" s="168"/>
      <c r="E380" s="28"/>
      <c r="F380" s="28"/>
      <c r="G380" s="28"/>
      <c r="H380" s="28"/>
      <c r="I380" s="28"/>
      <c r="J380" s="28"/>
      <c r="K380" s="28"/>
      <c r="L380" s="28"/>
      <c r="M380" s="28"/>
    </row>
    <row r="381" spans="1:13" ht="12" customHeight="1" x14ac:dyDescent="0.3">
      <c r="A381" s="30"/>
      <c r="B381" s="28"/>
      <c r="C381" s="28"/>
      <c r="D381" s="168"/>
      <c r="E381" s="28"/>
      <c r="F381" s="28"/>
      <c r="G381" s="28"/>
      <c r="H381" s="28"/>
      <c r="I381" s="28"/>
      <c r="J381" s="28"/>
      <c r="K381" s="28"/>
      <c r="L381" s="28"/>
      <c r="M381" s="28"/>
    </row>
    <row r="382" spans="1:13" ht="12" customHeight="1" x14ac:dyDescent="0.3">
      <c r="A382" s="30"/>
      <c r="B382" s="28"/>
      <c r="C382" s="28"/>
      <c r="D382" s="168"/>
      <c r="E382" s="28"/>
      <c r="F382" s="28"/>
      <c r="G382" s="28"/>
      <c r="H382" s="28"/>
      <c r="I382" s="28"/>
      <c r="J382" s="28"/>
      <c r="K382" s="28"/>
      <c r="L382" s="28"/>
      <c r="M382" s="28"/>
    </row>
    <row r="383" spans="1:13" ht="12" customHeight="1" x14ac:dyDescent="0.3">
      <c r="A383" s="30"/>
      <c r="B383" s="28"/>
      <c r="C383" s="28"/>
      <c r="D383" s="168"/>
      <c r="E383" s="28"/>
      <c r="F383" s="28"/>
      <c r="G383" s="28"/>
      <c r="H383" s="28"/>
      <c r="I383" s="28"/>
      <c r="J383" s="28"/>
      <c r="K383" s="28"/>
      <c r="L383" s="28"/>
      <c r="M383" s="28"/>
    </row>
    <row r="384" spans="1:13" ht="12" customHeight="1" x14ac:dyDescent="0.3">
      <c r="A384" s="30"/>
      <c r="B384" s="28"/>
      <c r="C384" s="28"/>
      <c r="D384" s="168"/>
      <c r="E384" s="28"/>
      <c r="F384" s="28"/>
      <c r="G384" s="28"/>
      <c r="H384" s="28"/>
      <c r="I384" s="28"/>
      <c r="J384" s="28"/>
      <c r="K384" s="28"/>
      <c r="L384" s="28"/>
      <c r="M384" s="28"/>
    </row>
  </sheetData>
  <sheetProtection algorithmName="SHA-512" hashValue="v/tgigpPDikXd+R2wJeqR9xftQ9IFTTtCmqhkt2MeGGuaDcko6Vv9QVWhqLp3F2v4ywcKirIdkDzKyMG55675Q==" saltValue="CtY9EAnb920Sfm8e6VEYVw==" spinCount="100000" sheet="1" formatCells="0" formatColumns="0" formatRows="0" insertColumns="0" insertRows="0" insertHyperlinks="0" deleteColumns="0" deleteRows="0" sort="0" autoFilter="0" pivotTables="0"/>
  <dataConsolidate/>
  <mergeCells count="32">
    <mergeCell ref="L353:N353"/>
    <mergeCell ref="A347:G348"/>
    <mergeCell ref="A349:G350"/>
    <mergeCell ref="H350:I350"/>
    <mergeCell ref="H351:I352"/>
    <mergeCell ref="J351:K352"/>
    <mergeCell ref="E2:E5"/>
    <mergeCell ref="B2:D3"/>
    <mergeCell ref="B4:B5"/>
    <mergeCell ref="C4:C5"/>
    <mergeCell ref="D4:D5"/>
    <mergeCell ref="L4:L5"/>
    <mergeCell ref="M4:M5"/>
    <mergeCell ref="N4:N5"/>
    <mergeCell ref="G4:G5"/>
    <mergeCell ref="J4:J5"/>
    <mergeCell ref="A1:N1"/>
    <mergeCell ref="K4:K5"/>
    <mergeCell ref="J350:K350"/>
    <mergeCell ref="J353:K353"/>
    <mergeCell ref="J348:K349"/>
    <mergeCell ref="H348:I349"/>
    <mergeCell ref="A2:A5"/>
    <mergeCell ref="I4:I5"/>
    <mergeCell ref="F4:F5"/>
    <mergeCell ref="H4:H5"/>
    <mergeCell ref="L348:N349"/>
    <mergeCell ref="L351:N352"/>
    <mergeCell ref="F2:H3"/>
    <mergeCell ref="I2:K3"/>
    <mergeCell ref="L2:N3"/>
    <mergeCell ref="A351:G353"/>
  </mergeCells>
  <phoneticPr fontId="9" type="noConversion"/>
  <dataValidations count="23">
    <dataValidation type="custom" allowBlank="1" showInputMessage="1" showErrorMessage="1" sqref="I7:I18 I64:I67 I101:I108 I345:I346 I69:I70 I23:I24 I20 I45:I62 I178:I186 I335:I336 I87:I99 I110:I111 I114:I123 I126:I127 I131:I133 I135 I137 I139 I332:I333 I168:I173 I142:I144 I146:I148 I176 I160:I165 I41:I42 I151:I158 I27:I39">
      <formula1>AND((INDEX($A$6:$A$346,MATCH(A7,$A$6:$A$346,0)))&lt;&gt;"",I7&gt;0)</formula1>
    </dataValidation>
    <dataValidation type="custom" allowBlank="1" showInputMessage="1" showErrorMessage="1" sqref="J7:J18 J64:J67 J101:J108 J345:J346 J69:J70 J23:J24 J20 J178:J186 J335:J336 J87:J99 J110:J111 J114:J123 J126:J127 J131:J133 J135 J137 J139 J45:J62 J168:J173 J142:J144 J146:J148 J176 J160:J165 J41:J42 J151:J158 J27:J39 J332:J333">
      <formula1>AND((INDEX($A$6:$A$346,MATCH(A7,$A$6:$A$346,0)))&lt;&gt;"",J7&gt;0)</formula1>
    </dataValidation>
    <dataValidation type="custom" allowBlank="1" showInputMessage="1" showErrorMessage="1" sqref="K7:K18 K64:K67 K101:K108 K345:K346 K69:K70 K23:K24 K20 K178:K186 K335:K336 K87:K99 K110:K111 K114:K123 K126:K127 K131:K133 K135 K137 K139 K45:K62 K168:K173 K142:K144 K146:K148 K176 K160:K165 K41:K42 K151:K158 K27:K39 K332:K333">
      <formula1>AND((INDEX($A$6:$A$346,MATCH(A7,$A$6:$A$346,0)))&lt;&gt;"",K7&gt;0)</formula1>
    </dataValidation>
    <dataValidation type="custom" allowBlank="1" showInputMessage="1" showErrorMessage="1" sqref="I340">
      <formula1>AND((INDEX($A$6:$A$346,MATCH(A340,$A$6:$A$346,0)))&lt;&gt;"",I340&lt;0)</formula1>
    </dataValidation>
    <dataValidation type="custom" allowBlank="1" showInputMessage="1" showErrorMessage="1" sqref="J340">
      <formula1>AND((INDEX($A$6:$A$346,MATCH(A340,$A$6:$A$346,0)))&lt;&gt;"",J340&lt;0)</formula1>
    </dataValidation>
    <dataValidation type="custom" allowBlank="1" showInputMessage="1" showErrorMessage="1" sqref="K340">
      <formula1>AND((INDEX($A$6:$A$346,MATCH(A340,$A$6:$A$346,0)))&lt;&gt;"",K340&lt;0)</formula1>
    </dataValidation>
    <dataValidation type="custom" allowBlank="1" showInputMessage="1" showErrorMessage="1" sqref="I150">
      <formula1>AND((INDEX($A$6:$A$346,MATCH(A151,$A$6:$A$346,0)))&lt;&gt;"",I150&gt;0)</formula1>
    </dataValidation>
    <dataValidation type="custom" allowBlank="1" showInputMessage="1" showErrorMessage="1" sqref="J150">
      <formula1>AND((INDEX($A$6:$A$346,MATCH(A151,$A$6:$A$346,0)))&lt;&gt;"",J150&gt;0)</formula1>
    </dataValidation>
    <dataValidation type="custom" allowBlank="1" showInputMessage="1" showErrorMessage="1" sqref="K150">
      <formula1>AND((INDEX($A$6:$A$346,MATCH(A151,$A$6:$A$346,0)))&lt;&gt;"",K150&gt;0)</formula1>
    </dataValidation>
    <dataValidation type="custom" showInputMessage="1" showErrorMessage="1" sqref="L345:L346 L27:L39 L64:L67 L101:L108 L137 L135 L332:L333 L87:L99 L110:L111 L114:L123 L126:L127 L7:L18 L20 L23:L24 L45:L62 L131:L133 L139 L168:L173 L142:L144 L146:L148 L69:L70 L176 L178:L186 L160:L165 L41:L42 L150:L158 L188:L318 L335:L336 L320:L329">
      <formula1>AND((INDEX($A$6:$A$346,MATCH(A7,$A$6:$A$346,0)))&lt;&gt;"",I7+L7&gt;=0)</formula1>
    </dataValidation>
    <dataValidation type="custom" showInputMessage="1" showErrorMessage="1" sqref="M7:M18 M64:M67 M101:M108 M23:M24 M20 M45:M62 M332:M333 M87:M99 M110:M111 M114:M123 M126:M127 M131:M133 M135 M137 M139 M168:M173 M142:M144 M146:M148 M69:M70 M176 M178:M186 M345:M346 M160:M165 M41:M42 M150:M158 M27:M39 M335:M336 M188:M318 M320:M329">
      <formula1>AND((INDEX($A$6:$A$346,MATCH(A7,$A$6:$A$346,0)))&lt;&gt;"",J7+M7&gt;=0)</formula1>
    </dataValidation>
    <dataValidation type="custom" showInputMessage="1" showErrorMessage="1" sqref="N7:N18 N64:N67 N101:N108 N23:N24 N20 N45:N62 N332:N333 N87:N99 N110:N111 N114:N123 N131:N133 N135 N137 N139 N168:N173 N142:N144 N146:N148 N69:N70 N176 N178:N186 N345:N346 N160:N165 N41:N42 N150:N158 N27:N39 N335:N336 N188:N318 N320:N329">
      <formula1>AND((INDEX($A$6:$A$346,MATCH(A7,$A$6:$A$346,0)))&lt;&gt;"",K7+N7&gt;=0)</formula1>
    </dataValidation>
    <dataValidation type="custom" showInputMessage="1" showErrorMessage="1" sqref="L342 L339:L340">
      <formula1>AND((INDEX($A$6:$A$346,MATCH(A339,$A$6:$A$346,0)))&lt;&gt;"",I339+L339&lt;=0)</formula1>
    </dataValidation>
    <dataValidation type="custom" showInputMessage="1" showErrorMessage="1" sqref="M342 M339:M340">
      <formula1>AND((INDEX($A$6:$A$346,MATCH(A339,$A$6:$A$346,0)))&lt;&gt;"",J339+M339&lt;=0)</formula1>
    </dataValidation>
    <dataValidation type="custom" showInputMessage="1" showErrorMessage="1" sqref="N342 N339:N340">
      <formula1>AND((INDEX($A$6:$A$346,MATCH(A339,$A$6:$A$346,0)))&lt;&gt;"",K339+N339&lt;=0)</formula1>
    </dataValidation>
    <dataValidation type="custom" showInputMessage="1" showErrorMessage="1" sqref="I339 I342">
      <formula1>AND((INDEX($A$6:$A$346,MATCH(A339,$A$6:$A$346,0)))&lt;&gt;"",I339&lt;0)</formula1>
    </dataValidation>
    <dataValidation type="custom" showInputMessage="1" showErrorMessage="1" sqref="J339 J342">
      <formula1>AND((INDEX($A$6:$A$346,MATCH(A339,$A$6:$A$346,0)))&lt;&gt;"",J339&lt;0)</formula1>
    </dataValidation>
    <dataValidation type="custom" showInputMessage="1" showErrorMessage="1" sqref="K339 K342">
      <formula1>AND((INDEX($A$6:$A$346,MATCH(A339,$A$6:$A$346,0)))&lt;&gt;"",K339&lt;0)</formula1>
    </dataValidation>
    <dataValidation type="custom" showInputMessage="1" showErrorMessage="1" sqref="F72:H83">
      <formula1>AND((INDEX($A$6:$A$346,MATCH(A72,$A$6:$A$346,0)))&lt;&gt;"",F72&gt;0)</formula1>
    </dataValidation>
    <dataValidation type="custom" showInputMessage="1" showErrorMessage="1" sqref="I188:I318 I72:N83 I320:I329">
      <formula1>AND((INDEX($A$6:$A$346,MATCH(A72,$A$6:$A$346,0)))&lt;&gt;"",I72&gt;0)</formula1>
    </dataValidation>
    <dataValidation type="custom" showInputMessage="1" showErrorMessage="1" sqref="N126:N127">
      <formula1>AND((INDEX($A$6:$A$346,MATCH(A124,$A$6:$A$346,0)))&lt;&gt;"",K124+N126&gt;=0)</formula1>
    </dataValidation>
    <dataValidation type="custom" showInputMessage="1" showErrorMessage="1" sqref="J188:J318 J320:J329">
      <formula1>AND((INDEX($A$6:$A$346,MATCH(A188,$A$6:$A$346,0)))&lt;&gt;"",J188&gt;0)</formula1>
    </dataValidation>
    <dataValidation type="custom" showInputMessage="1" showErrorMessage="1" sqref="K188:K318 K320:K329">
      <formula1>AND((INDEX($A$6:$A$346,MATCH(A188,$A$6:$A$346,0)))&lt;&gt;"",K188&gt;0)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2" firstPageNumber="2" fitToHeight="0" orientation="landscape" useFirstPageNumber="1" r:id="rId1"/>
  <headerFooter>
    <oddFooter>&amp;L&amp;T &amp;D&amp;Cверсия 220102&amp;R&amp;P из 12</oddFooter>
  </headerFooter>
  <rowBreaks count="7" manualBreakCount="7">
    <brk id="42" max="13" man="1"/>
    <brk id="99" max="13" man="1"/>
    <brk id="139" max="13" man="1"/>
    <brk id="186" max="13" man="1"/>
    <brk id="219" max="13" man="1"/>
    <brk id="268" max="13" man="1"/>
    <brk id="318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</sheetPr>
  <dimension ref="A1:O54"/>
  <sheetViews>
    <sheetView showZeros="0" view="pageBreakPreview" zoomScaleNormal="100" zoomScaleSheetLayoutView="100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H20" sqref="H20"/>
    </sheetView>
  </sheetViews>
  <sheetFormatPr defaultColWidth="9.109375" defaultRowHeight="13.2" x14ac:dyDescent="0.25"/>
  <cols>
    <col min="1" max="1" width="5.6640625" style="86" customWidth="1"/>
    <col min="2" max="2" width="65.21875" style="86" customWidth="1"/>
    <col min="3" max="3" width="8.21875" style="90" customWidth="1"/>
    <col min="4" max="4" width="7.109375" style="90" customWidth="1"/>
    <col min="5" max="5" width="10.6640625" style="90" bestFit="1" customWidth="1"/>
    <col min="6" max="8" width="12.88671875" style="87" customWidth="1"/>
    <col min="9" max="9" width="9.5546875" style="87" customWidth="1"/>
    <col min="10" max="10" width="8.44140625" style="86" customWidth="1"/>
    <col min="11" max="12" width="10.33203125" style="86" bestFit="1" customWidth="1"/>
    <col min="13" max="16384" width="9.109375" style="86"/>
  </cols>
  <sheetData>
    <row r="1" spans="1:15" x14ac:dyDescent="0.25">
      <c r="A1" s="463" t="s">
        <v>309</v>
      </c>
      <c r="B1" s="463"/>
      <c r="C1" s="463"/>
      <c r="D1" s="463"/>
      <c r="E1" s="463"/>
      <c r="F1" s="463"/>
      <c r="G1" s="463"/>
      <c r="H1" s="463"/>
      <c r="I1" s="463"/>
      <c r="J1" s="256">
        <f>ROW()</f>
        <v>1</v>
      </c>
      <c r="K1" s="255" t="s">
        <v>619</v>
      </c>
      <c r="L1" s="255"/>
      <c r="M1" s="255"/>
      <c r="N1" s="256"/>
      <c r="O1" s="86" t="s">
        <v>898</v>
      </c>
    </row>
    <row r="2" spans="1:15" x14ac:dyDescent="0.25">
      <c r="A2" s="464" t="s">
        <v>595</v>
      </c>
      <c r="B2" s="465" t="s">
        <v>0</v>
      </c>
      <c r="C2" s="465" t="s">
        <v>596</v>
      </c>
      <c r="D2" s="465" t="s">
        <v>597</v>
      </c>
      <c r="E2" s="465" t="s">
        <v>880</v>
      </c>
      <c r="F2" s="464" t="s">
        <v>701</v>
      </c>
      <c r="G2" s="464"/>
      <c r="H2" s="464"/>
      <c r="I2" s="464"/>
      <c r="J2" s="256" t="str">
        <f t="array" ref="J2:J4">IF(INDEX(УЧРЕЖДЕНИЯ!A14:M52,MATCH(ТИТУЛ!CO20,УЧРЕЖДЕНИЯ!$C$14:$C$52,0),9)="БУ",IFERROR(INDEX(КБК!E888:E1045,SMALL(IF((((510=КБК!F888:F1045))*("Ф"=КБК!I888:I1045)*(NOT(ISERR(SEARCH(ПОКАЗАТЕЛИ!$O$1,КБК!D888:D1045))))),ROW(КБК!E888:E1045)-КБК!A888+1,""),ROW()-$J$1)),""),"")</f>
        <v/>
      </c>
      <c r="K2" s="258" t="str">
        <f t="array" ref="K2:K21">IFERROR(INDEX(КБК!E888:E1045,SMALL(IF((((152=КБК!F888:F1045)+(162=КБК!F888:F1045)+(510=КБК!F888:F1045))*("Ф"=КБК!I888:I1045)*(NOT(ISERR(SEARCH(ПОКАЗАТЕЛИ!$O$1,КБК!D888:D1045))))),ROW(КБК!E888:E1045)-КБК!A888+1,""),ROW()-$J$1)),"")</f>
        <v>комфорт 777F254240.510.0</v>
      </c>
      <c r="L2" s="255"/>
      <c r="M2" s="255"/>
      <c r="N2" s="256"/>
      <c r="O2" s="86" t="s">
        <v>899</v>
      </c>
    </row>
    <row r="3" spans="1:15" ht="52.8" x14ac:dyDescent="0.25">
      <c r="A3" s="464"/>
      <c r="B3" s="465"/>
      <c r="C3" s="465"/>
      <c r="D3" s="465"/>
      <c r="E3" s="465"/>
      <c r="F3" s="253" t="str">
        <f>CONCATENATE(ТИТУЛ!$DG$10," Г.")</f>
        <v>2022 Г.</v>
      </c>
      <c r="G3" s="253" t="str">
        <f>CONCATENATE(ТИТУЛ!$DG$10+1," Г.")</f>
        <v>2023 Г.</v>
      </c>
      <c r="H3" s="253" t="str">
        <f>CONCATENATE(ТИТУЛ!$DG$10+2," Г.")</f>
        <v>2024 Г.</v>
      </c>
      <c r="I3" s="253" t="s">
        <v>269</v>
      </c>
      <c r="J3" s="256" t="str">
        <v/>
      </c>
      <c r="K3" s="255" t="str">
        <v/>
      </c>
      <c r="L3" s="258"/>
      <c r="M3" s="255"/>
    </row>
    <row r="4" spans="1:15" x14ac:dyDescent="0.25">
      <c r="A4" s="150">
        <v>1</v>
      </c>
      <c r="B4" s="151" t="s">
        <v>310</v>
      </c>
      <c r="C4" s="152">
        <v>26000</v>
      </c>
      <c r="D4" s="153" t="s">
        <v>202</v>
      </c>
      <c r="E4" s="153"/>
      <c r="F4" s="154">
        <f>F5+F6+F7+F16</f>
        <v>26785095.719999999</v>
      </c>
      <c r="G4" s="154">
        <f>G5+G6+G7+G16</f>
        <v>31989200.100000001</v>
      </c>
      <c r="H4" s="154">
        <f>H5+H6+H7+H16</f>
        <v>33275678.100000001</v>
      </c>
      <c r="I4" s="154">
        <f>I5+I6+I7+I16</f>
        <v>0</v>
      </c>
      <c r="J4" s="256" t="str">
        <v/>
      </c>
      <c r="K4" s="255" t="str">
        <v/>
      </c>
      <c r="L4" s="255"/>
      <c r="M4" s="255"/>
    </row>
    <row r="5" spans="1:15" x14ac:dyDescent="0.25">
      <c r="A5" s="150" t="s">
        <v>197</v>
      </c>
      <c r="B5" s="151" t="s">
        <v>599</v>
      </c>
      <c r="C5" s="153">
        <v>26100</v>
      </c>
      <c r="D5" s="153">
        <f>ТИТУЛ!$DF$10-1</f>
        <v>2021</v>
      </c>
      <c r="E5" s="153"/>
      <c r="F5" s="155"/>
      <c r="G5" s="155"/>
      <c r="H5" s="155"/>
      <c r="I5" s="155"/>
      <c r="J5" s="256"/>
      <c r="K5" s="255" t="str">
        <v/>
      </c>
      <c r="L5" s="255"/>
      <c r="M5" s="255"/>
    </row>
    <row r="6" spans="1:15" x14ac:dyDescent="0.25">
      <c r="A6" s="150" t="s">
        <v>198</v>
      </c>
      <c r="B6" s="151" t="s">
        <v>600</v>
      </c>
      <c r="C6" s="153">
        <v>26200</v>
      </c>
      <c r="D6" s="153">
        <f>ТИТУЛ!$DF$10</f>
        <v>2022</v>
      </c>
      <c r="E6" s="153"/>
      <c r="F6" s="155"/>
      <c r="G6" s="155"/>
      <c r="H6" s="155"/>
      <c r="I6" s="155"/>
      <c r="J6" s="256"/>
      <c r="K6" s="255" t="str">
        <v/>
      </c>
      <c r="L6" s="255"/>
      <c r="M6" s="255"/>
    </row>
    <row r="7" spans="1:15" x14ac:dyDescent="0.25">
      <c r="A7" s="150" t="s">
        <v>199</v>
      </c>
      <c r="B7" s="151" t="s">
        <v>311</v>
      </c>
      <c r="C7" s="152">
        <v>26300</v>
      </c>
      <c r="D7" s="153">
        <f>ТИТУЛ!$DF$10-1</f>
        <v>2021</v>
      </c>
      <c r="E7" s="153"/>
      <c r="F7" s="154">
        <f>F8+F15</f>
        <v>0</v>
      </c>
      <c r="G7" s="154">
        <f>G8+G15</f>
        <v>0</v>
      </c>
      <c r="H7" s="154">
        <f>H8+H15</f>
        <v>0</v>
      </c>
      <c r="I7" s="154">
        <f>I8+I15</f>
        <v>0</v>
      </c>
      <c r="J7" s="256"/>
      <c r="K7" s="255" t="str">
        <v/>
      </c>
      <c r="L7" s="255"/>
      <c r="M7" s="255"/>
    </row>
    <row r="8" spans="1:15" x14ac:dyDescent="0.25">
      <c r="A8" s="150" t="s">
        <v>568</v>
      </c>
      <c r="B8" s="267" t="s">
        <v>885</v>
      </c>
      <c r="C8" s="268">
        <v>26310</v>
      </c>
      <c r="D8" s="268">
        <f>ТИТУЛ!$DF$10-1</f>
        <v>2021</v>
      </c>
      <c r="E8" s="268"/>
      <c r="F8" s="269"/>
      <c r="G8" s="269"/>
      <c r="H8" s="269"/>
      <c r="I8" s="269"/>
      <c r="J8" s="256"/>
      <c r="K8" s="255" t="str">
        <v/>
      </c>
      <c r="L8" s="255"/>
      <c r="M8" s="255"/>
    </row>
    <row r="9" spans="1:15" x14ac:dyDescent="0.25">
      <c r="A9" s="257"/>
      <c r="B9" s="270" t="s">
        <v>886</v>
      </c>
      <c r="C9" s="271" t="s">
        <v>571</v>
      </c>
      <c r="D9" s="272">
        <f>ТИТУЛ!$DF$10-1</f>
        <v>2021</v>
      </c>
      <c r="E9" s="270"/>
      <c r="F9" s="273">
        <f>SUM(F10:F11)</f>
        <v>0</v>
      </c>
      <c r="G9" s="273">
        <f>SUM(G10:G11)</f>
        <v>0</v>
      </c>
      <c r="H9" s="273">
        <f>SUM(H10:H11)</f>
        <v>0</v>
      </c>
      <c r="I9" s="273">
        <f>SUM(I10:I11)</f>
        <v>0</v>
      </c>
      <c r="J9" s="256"/>
      <c r="K9" s="255" t="str">
        <v/>
      </c>
      <c r="L9" s="255"/>
      <c r="M9" s="255"/>
    </row>
    <row r="10" spans="1:15" x14ac:dyDescent="0.25">
      <c r="A10" s="257"/>
      <c r="B10" s="274" t="str">
        <f t="array" ref="B10">IFERROR(LEFT(J2,MIN(IF(ISNUMBER(-MID(J2,ROW($1:$54),1)),ROW($1:$54)))-2),"")</f>
        <v/>
      </c>
      <c r="C10" s="275" t="s">
        <v>881</v>
      </c>
      <c r="D10" s="272">
        <f>ТИТУЛ!$DF$10-1</f>
        <v>2021</v>
      </c>
      <c r="E10" s="272" t="str">
        <f t="array" aca="1" ref="E10" ca="1">IFERROR(MID(J2,MATCH(TRUE,ISNUMBER(MID(J2,ROW(INDIRECT("1:"&amp;LEN(J2))),1)*1),0),10),"")</f>
        <v/>
      </c>
      <c r="F10" s="276">
        <f>SUMIF(ПОКАЗАТЕЛИ!A84:A346,(CONCATENATE(LEFT(J2,LEN(J2)-5),"244.0")),ПОКАЗАТЕЛИ!F84:F346)</f>
        <v>0</v>
      </c>
      <c r="G10" s="276">
        <f>SUMIF(ПОКАЗАТЕЛИ!A84:A346,(CONCATENATE(LEFT(J2,LEN(J2)-5),"244.0")),ПОКАЗАТЕЛИ!G84:G346)</f>
        <v>0</v>
      </c>
      <c r="H10" s="276">
        <f>SUMIF(ПОКАЗАТЕЛИ!A84:A346,(CONCATENATE(LEFT(J2,LEN(J2)-5),"244.0")),ПОКАЗАТЕЛИ!H84:H346)</f>
        <v>0</v>
      </c>
      <c r="I10" s="276">
        <v>0</v>
      </c>
      <c r="J10" s="256"/>
      <c r="K10" s="255" t="str">
        <v/>
      </c>
      <c r="L10" s="255"/>
      <c r="M10" s="255"/>
    </row>
    <row r="11" spans="1:15" x14ac:dyDescent="0.25">
      <c r="A11" s="254"/>
      <c r="B11" s="274" t="str">
        <f t="array" ref="B11">IFERROR(LEFT(J3,MIN(IF(ISNUMBER(-MID(J3,ROW($1:$54),1)),ROW($1:$54)))-2),"")</f>
        <v/>
      </c>
      <c r="C11" s="275" t="s">
        <v>882</v>
      </c>
      <c r="D11" s="272">
        <f>ТИТУЛ!$DF$10-1</f>
        <v>2021</v>
      </c>
      <c r="E11" s="272" t="str">
        <f t="array" aca="1" ref="E11" ca="1">IFERROR(MID(J3,MATCH(TRUE,ISNUMBER(MID(J3,ROW(INDIRECT("1:"&amp;LEN(J3))),1)*1),0),10),"")</f>
        <v/>
      </c>
      <c r="F11" s="276">
        <f>SUMIF(ПОКАЗАТЕЛИ!A84:A346,(CONCATENATE(LEFT(J3,LEN(J3)-5),"244.0")),ПОКАЗАТЕЛИ!F84:F346)</f>
        <v>0</v>
      </c>
      <c r="G11" s="276">
        <f>SUMIF(ПОКАЗАТЕЛИ!A84:A346,(CONCATENATE(LEFT(J3,LEN(J3)-5),"244.0")),ПОКАЗАТЕЛИ!G84:G346)</f>
        <v>0</v>
      </c>
      <c r="H11" s="276">
        <f>SUMIF(ПОКАЗАТЕЛИ!A84:A346,(CONCATENATE(LEFT(J3,LEN(J3)-5),"244.0")),ПОКАЗАТЕЛИ!H84:H346)</f>
        <v>0</v>
      </c>
      <c r="I11" s="276">
        <v>0</v>
      </c>
      <c r="J11" s="256">
        <f>ROW()</f>
        <v>11</v>
      </c>
      <c r="K11" s="255" t="str">
        <v/>
      </c>
      <c r="L11" s="255"/>
      <c r="M11" s="255"/>
    </row>
    <row r="12" spans="1:15" x14ac:dyDescent="0.25">
      <c r="A12" s="254"/>
      <c r="B12" s="270" t="s">
        <v>884</v>
      </c>
      <c r="C12" s="275" t="s">
        <v>585</v>
      </c>
      <c r="D12" s="272">
        <f>ТИТУЛ!$DF$10-1</f>
        <v>2021</v>
      </c>
      <c r="E12" s="270"/>
      <c r="F12" s="273">
        <f>SUM(F13:F14)</f>
        <v>0</v>
      </c>
      <c r="G12" s="273">
        <f t="shared" ref="G12:I12" si="0">SUM(G13:G14)</f>
        <v>0</v>
      </c>
      <c r="H12" s="273">
        <f t="shared" si="0"/>
        <v>0</v>
      </c>
      <c r="I12" s="273">
        <f t="shared" si="0"/>
        <v>0</v>
      </c>
      <c r="J12" s="256" t="str">
        <f t="array" ref="J12:J14">IF(INDEX(УЧРЕЖДЕНИЯ!A14:M52,MATCH(ТИТУЛ!CO20,УЧРЕЖДЕНИЯ!$C$14:$C$52,0),9)="БУ",IFERROR(INDEX(КБК!E888:E1045,SMALL(IF((((152=КБК!F888:F1045))*("Ф"=КБК!I888:I1045)*(NOT(ISERR(SEARCH(ПОКАЗАТЕЛИ!$O$1,КБК!D888:D1045))))),ROW(КБК!E888:E1045)-КБК!A888+1,""),ROW()-$J$11)),""),"")</f>
        <v/>
      </c>
      <c r="K12" s="255" t="str">
        <v/>
      </c>
      <c r="L12" s="255"/>
      <c r="M12" s="255"/>
    </row>
    <row r="13" spans="1:15" x14ac:dyDescent="0.25">
      <c r="A13" s="257"/>
      <c r="B13" s="270"/>
      <c r="C13" s="275" t="s">
        <v>892</v>
      </c>
      <c r="D13" s="272">
        <f>ТИТУЛ!$DF$10-1</f>
        <v>2021</v>
      </c>
      <c r="E13" s="270"/>
      <c r="F13" s="270"/>
      <c r="G13" s="270"/>
      <c r="H13" s="270"/>
      <c r="I13" s="270"/>
      <c r="J13" s="256" t="str">
        <v/>
      </c>
      <c r="K13" s="255" t="str">
        <v/>
      </c>
      <c r="L13" s="255"/>
      <c r="M13" s="255"/>
    </row>
    <row r="14" spans="1:15" x14ac:dyDescent="0.25">
      <c r="A14" s="257"/>
      <c r="B14" s="270"/>
      <c r="C14" s="275" t="s">
        <v>883</v>
      </c>
      <c r="D14" s="272">
        <f>ТИТУЛ!$DF$10-1</f>
        <v>2021</v>
      </c>
      <c r="E14" s="270"/>
      <c r="F14" s="270"/>
      <c r="G14" s="270"/>
      <c r="H14" s="270"/>
      <c r="I14" s="270"/>
      <c r="J14" s="256" t="str">
        <v/>
      </c>
      <c r="K14" s="255" t="str">
        <v/>
      </c>
      <c r="L14" s="255"/>
      <c r="M14" s="255"/>
    </row>
    <row r="15" spans="1:15" x14ac:dyDescent="0.25">
      <c r="A15" s="150" t="s">
        <v>569</v>
      </c>
      <c r="B15" s="267" t="s">
        <v>570</v>
      </c>
      <c r="C15" s="277">
        <v>26320</v>
      </c>
      <c r="D15" s="268">
        <f>ТИТУЛ!$DF$10-1</f>
        <v>2021</v>
      </c>
      <c r="E15" s="268"/>
      <c r="F15" s="269"/>
      <c r="G15" s="269"/>
      <c r="H15" s="269"/>
      <c r="I15" s="269"/>
      <c r="J15" s="256"/>
      <c r="K15" s="255" t="str">
        <v/>
      </c>
      <c r="L15" s="255"/>
      <c r="M15" s="255"/>
    </row>
    <row r="16" spans="1:15" x14ac:dyDescent="0.25">
      <c r="A16" s="150" t="s">
        <v>270</v>
      </c>
      <c r="B16" s="267" t="s">
        <v>902</v>
      </c>
      <c r="C16" s="278">
        <v>26400</v>
      </c>
      <c r="D16" s="268">
        <f>ТИТУЛ!$DF$10</f>
        <v>2022</v>
      </c>
      <c r="E16" s="268"/>
      <c r="F16" s="279">
        <f>F17+F20+F32+F25</f>
        <v>26785095.719999999</v>
      </c>
      <c r="G16" s="279">
        <f>G17+G20+G32+G25</f>
        <v>31989200.100000001</v>
      </c>
      <c r="H16" s="279">
        <f>H17+H20+H32+H25</f>
        <v>33275678.100000001</v>
      </c>
      <c r="I16" s="279">
        <f>I17+I20+I32+I25</f>
        <v>0</v>
      </c>
      <c r="J16" s="256">
        <f>ROW()</f>
        <v>16</v>
      </c>
      <c r="K16" s="255" t="str">
        <v/>
      </c>
      <c r="L16" s="255"/>
      <c r="M16" s="255"/>
    </row>
    <row r="17" spans="1:13" x14ac:dyDescent="0.25">
      <c r="A17" s="150" t="s">
        <v>271</v>
      </c>
      <c r="B17" s="267" t="s">
        <v>312</v>
      </c>
      <c r="C17" s="278">
        <v>26410</v>
      </c>
      <c r="D17" s="268">
        <f>ТИТУЛ!$DF$10</f>
        <v>2022</v>
      </c>
      <c r="E17" s="268"/>
      <c r="F17" s="280">
        <f>F18+F19</f>
        <v>26785095.719999999</v>
      </c>
      <c r="G17" s="279">
        <f>G18+G19</f>
        <v>31989200.100000001</v>
      </c>
      <c r="H17" s="279">
        <f>H18+H19</f>
        <v>33275678.100000001</v>
      </c>
      <c r="I17" s="279">
        <f>I18+I19</f>
        <v>0</v>
      </c>
      <c r="J17" s="256" t="str">
        <f t="array" ref="J17:J19">IFERROR(INDEX(КБК!E1023:E1045,SMALL(IF(((162=КБК!F888:F1045)*("Ф"=КБК!I888:I1045)*(NOT(ISERR(SEARCH(ПОКАЗАТЕЛИ!$O$1,КБК!D888:D1045))))),ROW(КБК!E888:E1045)-КБК!A888+1,""),ROW()-J16)),"")</f>
        <v/>
      </c>
      <c r="K17" s="255" t="str">
        <v/>
      </c>
      <c r="L17" s="255"/>
      <c r="M17" s="255"/>
    </row>
    <row r="18" spans="1:13" x14ac:dyDescent="0.25">
      <c r="A18" s="150" t="s">
        <v>272</v>
      </c>
      <c r="B18" s="281" t="s">
        <v>601</v>
      </c>
      <c r="C18" s="277">
        <v>26411</v>
      </c>
      <c r="D18" s="268">
        <f>ТИТУЛ!$DF$10</f>
        <v>2022</v>
      </c>
      <c r="E18" s="268"/>
      <c r="F18" s="269"/>
      <c r="G18" s="269"/>
      <c r="H18" s="269"/>
      <c r="I18" s="269"/>
      <c r="J18" s="256" t="str">
        <v/>
      </c>
      <c r="K18" s="255" t="str">
        <v/>
      </c>
      <c r="L18" s="255"/>
      <c r="M18" s="255"/>
    </row>
    <row r="19" spans="1:13" x14ac:dyDescent="0.25">
      <c r="A19" s="150" t="s">
        <v>273</v>
      </c>
      <c r="B19" s="281" t="s">
        <v>570</v>
      </c>
      <c r="C19" s="268">
        <v>26412</v>
      </c>
      <c r="D19" s="268">
        <f>ТИТУЛ!$DF$10</f>
        <v>2022</v>
      </c>
      <c r="E19" s="268"/>
      <c r="F19" s="269">
        <v>26785095.719999999</v>
      </c>
      <c r="G19" s="269">
        <v>31989200.100000001</v>
      </c>
      <c r="H19" s="269">
        <v>33275678.100000001</v>
      </c>
      <c r="I19" s="269"/>
      <c r="J19" s="256" t="str">
        <v/>
      </c>
      <c r="K19" s="255" t="str">
        <v/>
      </c>
      <c r="L19" s="255"/>
      <c r="M19" s="255"/>
    </row>
    <row r="20" spans="1:13" x14ac:dyDescent="0.25">
      <c r="A20" s="150" t="s">
        <v>274</v>
      </c>
      <c r="B20" s="267" t="s">
        <v>313</v>
      </c>
      <c r="C20" s="282">
        <v>26420</v>
      </c>
      <c r="D20" s="268">
        <f>ТИТУЛ!$DF$10</f>
        <v>2022</v>
      </c>
      <c r="E20" s="268">
        <f>E21+E24</f>
        <v>0</v>
      </c>
      <c r="F20" s="279">
        <f>F21+F24</f>
        <v>0</v>
      </c>
      <c r="G20" s="279">
        <f>G21+G24</f>
        <v>0</v>
      </c>
      <c r="H20" s="279">
        <f>H21+H24</f>
        <v>0</v>
      </c>
      <c r="I20" s="279">
        <f>I21+I24</f>
        <v>0</v>
      </c>
      <c r="J20" s="256"/>
      <c r="K20" s="255" t="str">
        <v/>
      </c>
      <c r="L20" s="255"/>
      <c r="M20" s="255"/>
    </row>
    <row r="21" spans="1:13" x14ac:dyDescent="0.25">
      <c r="A21" s="150" t="s">
        <v>275</v>
      </c>
      <c r="B21" s="267" t="s">
        <v>588</v>
      </c>
      <c r="C21" s="268">
        <v>26421</v>
      </c>
      <c r="D21" s="268">
        <f>ТИТУЛ!$DF$10</f>
        <v>2022</v>
      </c>
      <c r="E21" s="268"/>
      <c r="F21" s="269"/>
      <c r="G21" s="269"/>
      <c r="H21" s="269"/>
      <c r="I21" s="269"/>
      <c r="J21" s="256">
        <f>ROW()</f>
        <v>21</v>
      </c>
      <c r="K21" s="255" t="str">
        <v/>
      </c>
      <c r="L21" s="255"/>
      <c r="M21" s="255"/>
    </row>
    <row r="22" spans="1:13" x14ac:dyDescent="0.25">
      <c r="A22" s="150"/>
      <c r="B22" s="283" t="str">
        <f t="array" ref="B22">IFERROR(LEFT(J12,MIN(IF(ISNUMBER(-MID(J12,ROW($1:$54),1)),ROW($1:$54)))-2),"")</f>
        <v/>
      </c>
      <c r="C22" s="268" t="s">
        <v>572</v>
      </c>
      <c r="D22" s="268">
        <f>ТИТУЛ!$DF$10</f>
        <v>2022</v>
      </c>
      <c r="E22" s="268" t="str">
        <f t="array" aca="1" ref="E22" ca="1">IFERROR(MID(J12,MATCH(TRUE,ISNUMBER(MID(J12,ROW(INDIRECT("1:"&amp;LEN(J12))),1)*1),0),10),"")</f>
        <v/>
      </c>
      <c r="F22" s="276">
        <f>SUMIF(ПОКАЗАТЕЛИ!A84:A346,(CONCATENATE(LEFT(J12,LEN(J12)-5),"244.0")),ПОКАЗАТЕЛИ!F84:F346)</f>
        <v>0</v>
      </c>
      <c r="G22" s="276">
        <f>SUMIF(ПОКАЗАТЕЛИ!A84:A346,(CONCATENATE(LEFT(J12,LEN(J12)-5),"244.0")),ПОКАЗАТЕЛИ!G84:G346)</f>
        <v>0</v>
      </c>
      <c r="H22" s="276">
        <f>SUMIF(ПОКАЗАТЕЛИ!A84:A346,(CONCATENATE(LEFT(J12,LEN(J12)-5),"244.0")),ПОКАЗАТЕЛИ!H84:H346)</f>
        <v>0</v>
      </c>
      <c r="I22" s="276"/>
      <c r="J22" s="256" t="str">
        <f t="array" ref="J22:J24">IFERROR(INDEX(КБК!E888:E1045,SMALL(IF(((Z=КБК!F888:F1045)*("Ф"=КБК!I888:I1045)*(NOT(ISERR(SEARCH(ПОКАЗАТЕЛИ!$O$1,КБК!D888:D1045))))),ROW(КБК!E888:E1045)-КБК!A888+1,""),ROW()-$J$21)),"")</f>
        <v/>
      </c>
      <c r="K22" s="255" t="s">
        <v>620</v>
      </c>
      <c r="L22" s="255"/>
      <c r="M22" s="255"/>
    </row>
    <row r="23" spans="1:13" x14ac:dyDescent="0.25">
      <c r="A23" s="150"/>
      <c r="B23" s="283" t="str">
        <f t="array" ref="B23">IFERROR(LEFT(J13,MIN(IF(ISNUMBER(-MID(J13,ROW($1:$54),1)),ROW($1:$54)))-2),"")</f>
        <v/>
      </c>
      <c r="C23" s="268" t="s">
        <v>586</v>
      </c>
      <c r="D23" s="268">
        <f>ТИТУЛ!$DF$10</f>
        <v>2022</v>
      </c>
      <c r="E23" s="268" t="str">
        <f t="array" aca="1" ref="E23" ca="1">IFERROR(MID(J13,MATCH(TRUE,ISNUMBER(MID(J13,ROW(INDIRECT("1:"&amp;LEN(J13))),1)*1),0),10),"")</f>
        <v/>
      </c>
      <c r="F23" s="276">
        <f>SUMIF(ПОКАЗАТЕЛИ!A84:A346,(CONCATENATE(LEFT(J13,LEN(J13)-5),"244.0")),ПОКАЗАТЕЛИ!F84:F346)</f>
        <v>0</v>
      </c>
      <c r="G23" s="276">
        <f>SUMIF(ПОКАЗАТЕЛИ!A84:A346,(CONCATENATE(LEFT(J13,LEN(J13)-5),"244.0")),ПОКАЗАТЕЛИ!G84:G346)</f>
        <v>0</v>
      </c>
      <c r="H23" s="276">
        <f>SUMIF(ПОКАЗАТЕЛИ!A84:A346,(CONCATENATE(LEFT(J13,LEN(J13)-5),"244.0")),ПОКАЗАТЕЛИ!H84:H346)</f>
        <v>0</v>
      </c>
      <c r="I23" s="276"/>
      <c r="J23" s="256" t="str">
        <v/>
      </c>
      <c r="K23" s="255"/>
      <c r="L23" s="255"/>
      <c r="M23" s="255"/>
    </row>
    <row r="24" spans="1:13" x14ac:dyDescent="0.25">
      <c r="A24" s="150" t="s">
        <v>276</v>
      </c>
      <c r="B24" s="267" t="s">
        <v>570</v>
      </c>
      <c r="C24" s="268">
        <v>26422</v>
      </c>
      <c r="D24" s="268">
        <f>ТИТУЛ!$DF$10</f>
        <v>2022</v>
      </c>
      <c r="E24" s="268"/>
      <c r="F24" s="269"/>
      <c r="G24" s="269"/>
      <c r="H24" s="269"/>
      <c r="I24" s="269"/>
      <c r="J24" s="256" t="str">
        <v/>
      </c>
      <c r="K24" s="255"/>
      <c r="L24" s="255"/>
      <c r="M24" s="255"/>
    </row>
    <row r="25" spans="1:13" x14ac:dyDescent="0.25">
      <c r="A25" s="150" t="s">
        <v>277</v>
      </c>
      <c r="B25" s="267" t="s">
        <v>887</v>
      </c>
      <c r="C25" s="282">
        <v>26430</v>
      </c>
      <c r="D25" s="268">
        <f>ТИТУЛ!$DF$10</f>
        <v>2022</v>
      </c>
      <c r="E25" s="268"/>
      <c r="F25" s="269"/>
      <c r="G25" s="269"/>
      <c r="H25" s="269"/>
      <c r="I25" s="269"/>
    </row>
    <row r="26" spans="1:13" x14ac:dyDescent="0.25">
      <c r="A26" s="151"/>
      <c r="B26" s="267" t="s">
        <v>888</v>
      </c>
      <c r="C26" s="282" t="s">
        <v>604</v>
      </c>
      <c r="D26" s="268">
        <f>ТИТУЛ!$DF$10</f>
        <v>2022</v>
      </c>
      <c r="E26" s="267">
        <f ca="1">SUM(E27:E28)</f>
        <v>0</v>
      </c>
      <c r="F26" s="267">
        <f t="shared" ref="F26:I26" si="1">SUM(F27:F28)</f>
        <v>0</v>
      </c>
      <c r="G26" s="267">
        <f t="shared" si="1"/>
        <v>0</v>
      </c>
      <c r="H26" s="267">
        <f t="shared" si="1"/>
        <v>0</v>
      </c>
      <c r="I26" s="267">
        <f t="shared" si="1"/>
        <v>0</v>
      </c>
    </row>
    <row r="27" spans="1:13" x14ac:dyDescent="0.25">
      <c r="A27" s="150"/>
      <c r="B27" s="283" t="str">
        <f t="array" ref="B27">IFERROR(LEFT(J17,MIN(IF(ISNUMBER(-MID(J17,ROW($1:$54),1)),ROW($1:$54)))-2),"")</f>
        <v/>
      </c>
      <c r="C27" s="282" t="s">
        <v>889</v>
      </c>
      <c r="D27" s="268">
        <f>ТИТУЛ!$DF$10</f>
        <v>2022</v>
      </c>
      <c r="E27" s="268" t="str">
        <f t="array" aca="1" ref="E27" ca="1">IFERROR(MID(J17,MATCH(TRUE,ISNUMBER(MID(J17,ROW(INDIRECT("1:"&amp;LEN(J17))),1)*1),0),10),"")</f>
        <v/>
      </c>
      <c r="F27" s="276">
        <f t="array" ref="F27">INDEX(ПОКАЗАТЕЛИ!$A$64:$H$67,MATCH($J$17,ПОКАЗАТЕЛИ!$A$64:$A$67,0),6)</f>
        <v>0</v>
      </c>
      <c r="G27" s="276">
        <f t="array" ref="G27">INDEX(ПОКАЗАТЕЛИ!$A$64:$H$67,MATCH($J$17,ПОКАЗАТЕЛИ!$A$64:$A$67,0),7)</f>
        <v>0</v>
      </c>
      <c r="H27" s="276">
        <f>INDEX(ПОКАЗАТЕЛИ!$A$64:$H$67,MATCH($J$17,ПОКАЗАТЕЛИ!$A$64:$A$67,0),8)</f>
        <v>0</v>
      </c>
      <c r="I27" s="276"/>
    </row>
    <row r="28" spans="1:13" x14ac:dyDescent="0.25">
      <c r="A28" s="150"/>
      <c r="B28" s="283" t="str">
        <f t="array" ref="B28">IFERROR(LEFT(J18,MIN(IF(ISNUMBER(-MID(J18,ROW($1:$54),1)),ROW($1:$54)))-2),"")</f>
        <v/>
      </c>
      <c r="C28" s="282" t="s">
        <v>890</v>
      </c>
      <c r="D28" s="268">
        <f>ТИТУЛ!$DF$10</f>
        <v>2022</v>
      </c>
      <c r="E28" s="268" t="str">
        <f t="array" aca="1" ref="E28" ca="1">IFERROR(MID(J18,MATCH(TRUE,ISNUMBER(MID(J18,ROW(INDIRECT("1:"&amp;LEN(J18))),1)*1),0),10),"")</f>
        <v/>
      </c>
      <c r="F28" s="276">
        <f t="array" ref="F28">INDEX(ПОКАЗАТЕЛИ!$A$64:$H$67,MATCH($J$18,ПОКАЗАТЕЛИ!$A$64:$A$67,0),6)</f>
        <v>0</v>
      </c>
      <c r="G28" s="276">
        <f t="array" ref="G28">INDEX(ПОКАЗАТЕЛИ!$A$64:$H$67,MATCH($J$18,ПОКАЗАТЕЛИ!$A$64:$A$67,0),7)</f>
        <v>0</v>
      </c>
      <c r="H28" s="276">
        <f t="array" ref="H28">INDEX(ПОКАЗАТЕЛИ!$A$64:$H$67,MATCH($J$18,ПОКАЗАТЕЛИ!$A$64:$A$67,0),8)</f>
        <v>0</v>
      </c>
      <c r="I28" s="276"/>
    </row>
    <row r="29" spans="1:13" x14ac:dyDescent="0.25">
      <c r="A29" s="150"/>
      <c r="B29" s="284" t="s">
        <v>884</v>
      </c>
      <c r="C29" s="282" t="s">
        <v>605</v>
      </c>
      <c r="D29" s="268">
        <f>ТИТУЛ!$DF$10</f>
        <v>2022</v>
      </c>
      <c r="E29" s="268">
        <f>SUM(E30:E31)</f>
        <v>0</v>
      </c>
      <c r="F29" s="268">
        <f t="shared" ref="F29:I29" si="2">SUM(F30:F31)</f>
        <v>0</v>
      </c>
      <c r="G29" s="268">
        <f t="shared" si="2"/>
        <v>0</v>
      </c>
      <c r="H29" s="268">
        <f t="shared" si="2"/>
        <v>0</v>
      </c>
      <c r="I29" s="268">
        <f t="shared" si="2"/>
        <v>0</v>
      </c>
    </row>
    <row r="30" spans="1:13" x14ac:dyDescent="0.25">
      <c r="A30" s="150"/>
      <c r="B30" s="283"/>
      <c r="C30" s="282" t="s">
        <v>893</v>
      </c>
      <c r="D30" s="268">
        <f>ТИТУЛ!$DF$10</f>
        <v>2022</v>
      </c>
      <c r="E30" s="268"/>
      <c r="F30" s="276"/>
      <c r="G30" s="276"/>
      <c r="H30" s="276"/>
      <c r="I30" s="276"/>
    </row>
    <row r="31" spans="1:13" x14ac:dyDescent="0.25">
      <c r="A31" s="151"/>
      <c r="B31" s="267"/>
      <c r="C31" s="282" t="s">
        <v>891</v>
      </c>
      <c r="D31" s="268">
        <f>ТИТУЛ!$DF$10</f>
        <v>2022</v>
      </c>
      <c r="E31" s="267"/>
      <c r="F31" s="267"/>
      <c r="G31" s="267"/>
      <c r="H31" s="267"/>
      <c r="I31" s="267"/>
    </row>
    <row r="32" spans="1:13" x14ac:dyDescent="0.25">
      <c r="A32" s="150" t="s">
        <v>278</v>
      </c>
      <c r="B32" s="267" t="s">
        <v>279</v>
      </c>
      <c r="C32" s="282">
        <v>26450</v>
      </c>
      <c r="D32" s="268">
        <f>ТИТУЛ!$DF$10</f>
        <v>2022</v>
      </c>
      <c r="E32" s="268"/>
      <c r="F32" s="279">
        <f>F33+F40</f>
        <v>0</v>
      </c>
      <c r="G32" s="279">
        <f>G33+G40</f>
        <v>0</v>
      </c>
      <c r="H32" s="279">
        <f>H33+H40</f>
        <v>0</v>
      </c>
      <c r="I32" s="279">
        <f>I33+I40</f>
        <v>0</v>
      </c>
    </row>
    <row r="33" spans="1:9" x14ac:dyDescent="0.25">
      <c r="A33" s="150" t="s">
        <v>280</v>
      </c>
      <c r="B33" s="267" t="s">
        <v>885</v>
      </c>
      <c r="C33" s="268">
        <v>26451</v>
      </c>
      <c r="D33" s="268">
        <f>ТИТУЛ!$DF$10</f>
        <v>2022</v>
      </c>
      <c r="E33" s="268"/>
      <c r="F33" s="269"/>
      <c r="G33" s="269"/>
      <c r="H33" s="269"/>
      <c r="I33" s="269"/>
    </row>
    <row r="34" spans="1:9" x14ac:dyDescent="0.25">
      <c r="A34" s="150"/>
      <c r="B34" s="267" t="s">
        <v>886</v>
      </c>
      <c r="C34" s="282" t="s">
        <v>573</v>
      </c>
      <c r="D34" s="268">
        <f>ТИТУЛ!$DF$10</f>
        <v>2022</v>
      </c>
      <c r="E34" s="268">
        <f ca="1">SUM(E35:E36)</f>
        <v>0</v>
      </c>
      <c r="F34" s="268">
        <f t="shared" ref="F34:I34" si="3">SUM(F35:F36)</f>
        <v>0</v>
      </c>
      <c r="G34" s="268">
        <f t="shared" si="3"/>
        <v>0</v>
      </c>
      <c r="H34" s="268">
        <f t="shared" si="3"/>
        <v>0</v>
      </c>
      <c r="I34" s="268">
        <f t="shared" si="3"/>
        <v>0</v>
      </c>
    </row>
    <row r="35" spans="1:9" x14ac:dyDescent="0.25">
      <c r="A35" s="150"/>
      <c r="B35" s="283" t="str">
        <f t="array" ref="B35">IFERROR(LEFT(J22,MIN(IF(ISNUMBER(-MID(J22,ROW($1:$54),1)),ROW($1:$54)))-2),"")</f>
        <v/>
      </c>
      <c r="C35" s="282" t="s">
        <v>894</v>
      </c>
      <c r="D35" s="268">
        <f>ТИТУЛ!$DF$10</f>
        <v>2022</v>
      </c>
      <c r="E35" s="268" t="str">
        <f t="array" aca="1" ref="E35" ca="1">IFERROR(MID(J22,MATCH(TRUE,ISNUMBER(MID(J17,ROW(INDIRECT("1:"&amp;LEN(J17))),1)*1),0),10),"")</f>
        <v/>
      </c>
      <c r="F35" s="276"/>
      <c r="G35" s="276"/>
      <c r="H35" s="276"/>
      <c r="I35" s="276"/>
    </row>
    <row r="36" spans="1:9" x14ac:dyDescent="0.25">
      <c r="A36" s="150"/>
      <c r="B36" s="283" t="str">
        <f t="array" ref="B36">IFERROR(LEFT(J23,MIN(IF(ISNUMBER(-MID(J23,ROW($1:$54),1)),ROW($1:$54)))-2),"")</f>
        <v/>
      </c>
      <c r="C36" s="282" t="s">
        <v>895</v>
      </c>
      <c r="D36" s="268">
        <f>ТИТУЛ!$DF$10</f>
        <v>2022</v>
      </c>
      <c r="E36" s="268" t="str">
        <f t="array" aca="1" ref="E36" ca="1">IFERROR(MID(J23,MATCH(TRUE,ISNUMBER(MID(J18,ROW(INDIRECT("1:"&amp;LEN(J18))),1)*1),0),10),"")</f>
        <v/>
      </c>
      <c r="F36" s="276"/>
      <c r="G36" s="276"/>
      <c r="H36" s="276"/>
      <c r="I36" s="276"/>
    </row>
    <row r="37" spans="1:9" x14ac:dyDescent="0.25">
      <c r="A37" s="150"/>
      <c r="B37" s="284" t="s">
        <v>884</v>
      </c>
      <c r="C37" s="282" t="s">
        <v>598</v>
      </c>
      <c r="D37" s="268">
        <f>ТИТУЛ!$DF$10</f>
        <v>2022</v>
      </c>
      <c r="E37" s="268">
        <f>SUM(E38:E39)</f>
        <v>0</v>
      </c>
      <c r="F37" s="268">
        <f t="shared" ref="F37:I37" si="4">SUM(F38:F39)</f>
        <v>0</v>
      </c>
      <c r="G37" s="268">
        <f t="shared" si="4"/>
        <v>0</v>
      </c>
      <c r="H37" s="268">
        <f t="shared" si="4"/>
        <v>0</v>
      </c>
      <c r="I37" s="268">
        <f t="shared" si="4"/>
        <v>0</v>
      </c>
    </row>
    <row r="38" spans="1:9" x14ac:dyDescent="0.25">
      <c r="A38" s="150"/>
      <c r="B38" s="283"/>
      <c r="C38" s="282" t="s">
        <v>896</v>
      </c>
      <c r="D38" s="268">
        <f>ТИТУЛ!$DF$10</f>
        <v>2022</v>
      </c>
      <c r="E38" s="268"/>
      <c r="F38" s="276"/>
      <c r="G38" s="276"/>
      <c r="H38" s="276"/>
      <c r="I38" s="276"/>
    </row>
    <row r="39" spans="1:9" x14ac:dyDescent="0.25">
      <c r="A39" s="150"/>
      <c r="B39" s="283"/>
      <c r="C39" s="282" t="s">
        <v>897</v>
      </c>
      <c r="D39" s="268">
        <f>ТИТУЛ!$DF$10</f>
        <v>2022</v>
      </c>
      <c r="E39" s="268"/>
      <c r="F39" s="276"/>
      <c r="G39" s="276"/>
      <c r="H39" s="276"/>
      <c r="I39" s="276"/>
    </row>
    <row r="40" spans="1:9" x14ac:dyDescent="0.25">
      <c r="A40" s="150" t="s">
        <v>281</v>
      </c>
      <c r="B40" s="267" t="s">
        <v>570</v>
      </c>
      <c r="C40" s="268">
        <v>26452</v>
      </c>
      <c r="D40" s="268">
        <f>ТИТУЛ!$DF$10</f>
        <v>2022</v>
      </c>
      <c r="E40" s="268"/>
      <c r="F40" s="269"/>
      <c r="G40" s="269"/>
      <c r="H40" s="269"/>
      <c r="I40" s="269"/>
    </row>
    <row r="41" spans="1:9" x14ac:dyDescent="0.25">
      <c r="A41" s="150" t="s">
        <v>200</v>
      </c>
      <c r="B41" s="267" t="s">
        <v>900</v>
      </c>
      <c r="C41" s="282">
        <v>26500</v>
      </c>
      <c r="D41" s="268" t="s">
        <v>202</v>
      </c>
      <c r="E41" s="268"/>
      <c r="F41" s="279">
        <f>F18+F21+F25+F33</f>
        <v>0</v>
      </c>
      <c r="G41" s="279">
        <f>G18+G21+G25+G33</f>
        <v>0</v>
      </c>
      <c r="H41" s="279">
        <f>H18+H21+H25+H33</f>
        <v>0</v>
      </c>
      <c r="I41" s="279">
        <f>I18+I21+I25+I33</f>
        <v>0</v>
      </c>
    </row>
    <row r="42" spans="1:9" x14ac:dyDescent="0.25">
      <c r="A42" s="150"/>
      <c r="B42" s="267" t="s">
        <v>282</v>
      </c>
      <c r="C42" s="282">
        <v>26510</v>
      </c>
      <c r="D42" s="268" t="s">
        <v>202</v>
      </c>
      <c r="E42" s="268"/>
      <c r="F42" s="279">
        <f>F8</f>
        <v>0</v>
      </c>
      <c r="G42" s="279">
        <f>G8</f>
        <v>0</v>
      </c>
      <c r="H42" s="279">
        <f>H8</f>
        <v>0</v>
      </c>
      <c r="I42" s="279">
        <f>I8</f>
        <v>0</v>
      </c>
    </row>
    <row r="43" spans="1:9" x14ac:dyDescent="0.25">
      <c r="A43" s="150" t="s">
        <v>201</v>
      </c>
      <c r="B43" s="267" t="s">
        <v>901</v>
      </c>
      <c r="C43" s="282">
        <v>26600</v>
      </c>
      <c r="D43" s="268" t="s">
        <v>202</v>
      </c>
      <c r="E43" s="268"/>
      <c r="F43" s="279">
        <f>F19+F24+F40</f>
        <v>26785095.719999999</v>
      </c>
      <c r="G43" s="279">
        <f>G19+G24+G40</f>
        <v>31989200.100000001</v>
      </c>
      <c r="H43" s="279">
        <f>H19+H24+H40</f>
        <v>33275678.100000001</v>
      </c>
      <c r="I43" s="279">
        <f>I19+I24+I40</f>
        <v>0</v>
      </c>
    </row>
    <row r="44" spans="1:9" x14ac:dyDescent="0.25">
      <c r="A44" s="150"/>
      <c r="B44" s="267" t="s">
        <v>282</v>
      </c>
      <c r="C44" s="282">
        <v>26610</v>
      </c>
      <c r="D44" s="268" t="s">
        <v>202</v>
      </c>
      <c r="E44" s="268"/>
      <c r="F44" s="279">
        <f>F15</f>
        <v>0</v>
      </c>
      <c r="G44" s="279">
        <f>G15</f>
        <v>0</v>
      </c>
      <c r="H44" s="279">
        <f>H15</f>
        <v>0</v>
      </c>
      <c r="I44" s="279">
        <f>I15</f>
        <v>0</v>
      </c>
    </row>
    <row r="45" spans="1:9" x14ac:dyDescent="0.25">
      <c r="A45" s="156"/>
      <c r="B45" s="157"/>
      <c r="C45" s="158"/>
      <c r="D45" s="179"/>
      <c r="E45" s="159"/>
      <c r="F45" s="160"/>
      <c r="G45" s="161"/>
      <c r="H45" s="161"/>
      <c r="I45" s="161"/>
    </row>
    <row r="46" spans="1:9" x14ac:dyDescent="0.25">
      <c r="C46" s="180"/>
      <c r="D46" s="180"/>
      <c r="E46" s="470" t="str">
        <f>IF(OR(N1="НЕ ВЕРНО",N2="НЕ ЗАПОЛНЕНО"),"НЕТ ПОДПИСИ","")</f>
        <v/>
      </c>
      <c r="F46" s="471"/>
      <c r="G46" s="476" t="str">
        <f>IFERROR(INDEX(УЧРЕЖДЕНИЯ!$K$14:$K$52,MATCH(ТИТУЛ!$CO$20,УЧРЕЖДЕНИЯ!$C$14:$C$52,0)),"")</f>
        <v>Габдулин Шамиль Рауильевич</v>
      </c>
      <c r="H46" s="477"/>
      <c r="I46" s="477"/>
    </row>
    <row r="47" spans="1:9" x14ac:dyDescent="0.25">
      <c r="C47" s="86"/>
      <c r="D47" s="88" t="str">
        <f>IFERROR(INDEX(УЧРЕЖДЕНИЯ!$J$14:$J$52,MATCH(ТИТУЛ!$CO$20,УЧРЕЖДЕНИЯ!$C$14:$C$52,0)),"")</f>
        <v>Директор</v>
      </c>
      <c r="E47" s="472"/>
      <c r="F47" s="472"/>
      <c r="G47" s="477"/>
      <c r="H47" s="477"/>
      <c r="I47" s="477"/>
    </row>
    <row r="48" spans="1:9" x14ac:dyDescent="0.25">
      <c r="C48" s="180" t="s">
        <v>138</v>
      </c>
      <c r="D48" s="180"/>
      <c r="E48" s="468" t="s">
        <v>143</v>
      </c>
      <c r="F48" s="469"/>
    </row>
    <row r="49" spans="3:9" x14ac:dyDescent="0.25">
      <c r="C49" s="86"/>
      <c r="D49" s="89"/>
      <c r="E49" s="470" t="str">
        <f>E46</f>
        <v/>
      </c>
      <c r="F49" s="471"/>
      <c r="G49" s="476" t="str">
        <f>IFERROR(INDEX(УЧРЕЖДЕНИЯ!$M$14:$M$52,MATCH(ТИТУЛ!$CO$20,УЧРЕЖДЕНИЯ!$C$14:$C$52,0)),"")</f>
        <v>Артемьева Елизавета Михайловна</v>
      </c>
      <c r="H49" s="477"/>
      <c r="I49" s="477"/>
    </row>
    <row r="50" spans="3:9" x14ac:dyDescent="0.25">
      <c r="C50" s="89"/>
      <c r="D50" s="87" t="str">
        <f>IFERROR(INDEX(УЧРЕЖДЕНИЯ!$L$14:$L$52,MATCH(ТИТУЛ!$CO$20,УЧРЕЖДЕНИЯ!$C$14:$C$52,0)),"")</f>
        <v>Главный бухгалтер</v>
      </c>
      <c r="E50" s="472"/>
      <c r="F50" s="472"/>
      <c r="G50" s="477"/>
      <c r="H50" s="477"/>
      <c r="I50" s="477"/>
    </row>
    <row r="51" spans="3:9" ht="14.4" x14ac:dyDescent="0.3">
      <c r="C51" s="461"/>
      <c r="D51" s="462"/>
      <c r="E51" s="466" t="s">
        <v>143</v>
      </c>
      <c r="F51" s="467"/>
    </row>
    <row r="52" spans="3:9" x14ac:dyDescent="0.25">
      <c r="C52" s="460" t="str">
        <f>ПОКАЗАТЕЛИ!H351</f>
        <v>Исполнитель</v>
      </c>
      <c r="D52" s="419"/>
      <c r="E52" s="473" t="str">
        <f>ПОКАЗАТЕЛИ!J351</f>
        <v/>
      </c>
      <c r="F52" s="474"/>
      <c r="G52" s="478" t="str">
        <f>ПОКАЗАТЕЛИ!L351</f>
        <v>Артемьева Елизавета Михайловна</v>
      </c>
      <c r="H52" s="479"/>
      <c r="I52" s="479"/>
    </row>
    <row r="53" spans="3:9" x14ac:dyDescent="0.25">
      <c r="C53" s="419"/>
      <c r="D53" s="419"/>
      <c r="E53" s="475"/>
      <c r="F53" s="475"/>
      <c r="G53" s="479"/>
      <c r="H53" s="479"/>
      <c r="I53" s="479"/>
    </row>
    <row r="54" spans="3:9" x14ac:dyDescent="0.25">
      <c r="C54" s="180"/>
      <c r="D54" s="180"/>
      <c r="E54" s="466" t="s">
        <v>143</v>
      </c>
      <c r="F54" s="467"/>
    </row>
  </sheetData>
  <sheetProtection algorithmName="SHA-512" hashValue="4DxtTump+mAHORo112Ddj2+iohkctigWV3l8qYcAv1OjbV06Bv1Y/Ad5CdWbdJ0X2VvX2G1FLrLXiuC4zNjK7g==" saltValue="d8RztsFaqunwde7r/Anj1Q==" spinCount="100000" sheet="1" formatCells="0" formatColumns="0" formatRows="0" insertColumns="0" insertRows="0" insertHyperlinks="0" deleteColumns="0" deleteRows="0" sort="0" autoFilter="0" pivotTables="0"/>
  <dataConsolidate/>
  <mergeCells count="18">
    <mergeCell ref="E54:F54"/>
    <mergeCell ref="E46:F47"/>
    <mergeCell ref="E49:F50"/>
    <mergeCell ref="E52:F53"/>
    <mergeCell ref="G46:I47"/>
    <mergeCell ref="G49:I50"/>
    <mergeCell ref="G52:I53"/>
    <mergeCell ref="C52:D53"/>
    <mergeCell ref="C51:D51"/>
    <mergeCell ref="A1:I1"/>
    <mergeCell ref="F2:I2"/>
    <mergeCell ref="A2:A3"/>
    <mergeCell ref="B2:B3"/>
    <mergeCell ref="C2:C3"/>
    <mergeCell ref="D2:D3"/>
    <mergeCell ref="E2:E3"/>
    <mergeCell ref="E51:F51"/>
    <mergeCell ref="E48:F48"/>
  </mergeCells>
  <dataValidations count="1">
    <dataValidation type="custom" allowBlank="1" showInputMessage="1" showErrorMessage="1" sqref="I10:I11">
      <formula1>AND((INDEX($E$4:$E$44,MATCH(E10,$E$4:$E$47,0)))&lt;&gt;"",I10&gt;0)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rstPageNumber="10" orientation="landscape" useFirstPageNumber="1" horizontalDpi="300" verticalDpi="300" r:id="rId1"/>
  <headerFooter>
    <oddFooter>&amp;L&amp;T &amp;D&amp;Cверсия 220102&amp;R&amp;P из  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P101"/>
  <sheetViews>
    <sheetView showZeros="0" view="pageBreakPreview" zoomScaleNormal="100" zoomScaleSheetLayoutView="100" workbookViewId="0">
      <selection activeCell="K83" sqref="K83"/>
    </sheetView>
  </sheetViews>
  <sheetFormatPr defaultColWidth="9.109375" defaultRowHeight="13.8" x14ac:dyDescent="0.25"/>
  <cols>
    <col min="1" max="1" width="32" style="18" customWidth="1"/>
    <col min="2" max="2" width="4.33203125" style="18" customWidth="1"/>
    <col min="3" max="4" width="3.88671875" style="18" customWidth="1"/>
    <col min="5" max="5" width="4" style="18" customWidth="1"/>
    <col min="6" max="7" width="12.6640625" style="18" customWidth="1"/>
    <col min="8" max="13" width="13.5546875" style="18" customWidth="1"/>
    <col min="14" max="15" width="10" style="18" bestFit="1" customWidth="1"/>
    <col min="16" max="16384" width="9.109375" style="18"/>
  </cols>
  <sheetData>
    <row r="1" spans="1:14" ht="15" customHeight="1" x14ac:dyDescent="0.25">
      <c r="A1" s="483" t="str">
        <f>IF(AND(F91=0,ПОКАЗАТЕЛИ!F44=0,ПОКАЗАТЕЛИ!F63=0),"НЕ ПЕЧАТАЕТЬСЯ","")</f>
        <v>НЕ ПЕЧАТАЕТЬСЯ</v>
      </c>
      <c r="B1" s="495"/>
      <c r="C1" s="495"/>
      <c r="D1" s="495"/>
      <c r="E1" s="495"/>
      <c r="F1" s="495"/>
      <c r="G1" s="113"/>
      <c r="H1" s="113"/>
      <c r="I1" s="480" t="str">
        <f>IF(OR(E94="ВСЕ НЕ ВЕРНО",A91="НЕ ЗАПОЛНЕНО",A1="НЕ ПЕЧАТАЕТЬСЯ",A3="НЕ ПРЕДСТАВЛЯЕТЬСЯ"),"НЕ УТВЕРЖДАЮ","УТВЕРЖДАЮ")</f>
        <v>НЕ УТВЕРЖДАЮ</v>
      </c>
      <c r="J1" s="481"/>
      <c r="K1" s="481"/>
      <c r="L1" s="481"/>
      <c r="M1" s="481"/>
      <c r="N1" s="18">
        <f t="array" ref="N1">IF(A19:A45&lt;&gt;"",1,2)</f>
        <v>1</v>
      </c>
    </row>
    <row r="2" spans="1:14" ht="15" customHeight="1" x14ac:dyDescent="0.25">
      <c r="A2" s="495"/>
      <c r="B2" s="495"/>
      <c r="C2" s="495"/>
      <c r="D2" s="495"/>
      <c r="E2" s="495"/>
      <c r="F2" s="495"/>
      <c r="G2" s="78"/>
      <c r="H2" s="78"/>
      <c r="I2" s="482" t="str">
        <f>INDEX(УЧРЕЖДЕНИЯ!J14:J52,MATCH(ТИТУЛ!CO20,УЧРЕЖДЕНИЯ!C14:C52,0))</f>
        <v>Директор</v>
      </c>
      <c r="J2" s="481"/>
      <c r="K2" s="481"/>
      <c r="L2" s="481"/>
      <c r="M2" s="481"/>
    </row>
    <row r="3" spans="1:14" ht="15" customHeight="1" x14ac:dyDescent="0.25">
      <c r="A3" s="496" t="str">
        <f>IF(AND(F91=0,ПОКАЗАТЕЛИ!F44=0,ПОКАЗАТЕЛИ!F63=0),"НЕ ПРЕДСТАВЛЯЕТЬСЯ","")</f>
        <v>НЕ ПРЕДСТАВЛЯЕТЬСЯ</v>
      </c>
      <c r="B3" s="495"/>
      <c r="C3" s="495"/>
      <c r="D3" s="495"/>
      <c r="E3" s="495"/>
      <c r="F3" s="495"/>
      <c r="G3" s="185"/>
      <c r="H3" s="185"/>
      <c r="I3" s="482" t="str">
        <f>INDEX(УЧРЕЖДЕНИЯ!F14:F52,MATCH(ТИТУЛ!CO20,УЧРЕЖДЕНИЯ!C14:C52,0))</f>
        <v>Муниципальное автономное учреждение "Физкультурно-оздоровительный комплекс "Атлант" в г.Шахунья"</v>
      </c>
      <c r="J3" s="481"/>
      <c r="K3" s="481"/>
      <c r="L3" s="481"/>
      <c r="M3" s="481"/>
    </row>
    <row r="4" spans="1:14" ht="15" customHeight="1" x14ac:dyDescent="0.25">
      <c r="A4" s="495"/>
      <c r="B4" s="495"/>
      <c r="C4" s="495"/>
      <c r="D4" s="495"/>
      <c r="E4" s="495"/>
      <c r="F4" s="495"/>
      <c r="G4" s="78"/>
      <c r="H4" s="78"/>
      <c r="I4" s="484"/>
      <c r="J4" s="484"/>
      <c r="K4" s="484"/>
      <c r="L4" s="484"/>
      <c r="M4" s="484"/>
    </row>
    <row r="5" spans="1:14" s="19" customFormat="1" ht="15" customHeight="1" x14ac:dyDescent="0.25">
      <c r="A5" s="483" t="str">
        <f>IF(OR(E94="ВСЕ НЕ ВЕРНО",A91="НЕ ЗАПОЛНЕНО",A1="НЕ ПЕЧАТАЕТЬСЯ",A3="НЕ ПРЕДСТАВЛЯЕТЬСЯ"),"НЕ ВЕРНЫЕ","")</f>
        <v>НЕ ВЕРНЫЕ</v>
      </c>
      <c r="B5" s="325"/>
      <c r="C5" s="325"/>
      <c r="D5" s="325"/>
      <c r="E5" s="325"/>
      <c r="F5" s="459"/>
      <c r="G5" s="184"/>
      <c r="H5" s="487" t="str">
        <f>IFERROR(INDEX(УЧРЕЖДЕНИЯ!$J$14:$J$52,MATCH(ТИТУЛ!$CO$20,УЧРЕЖДЕНИЯ!$C$14:$C$52,0)),"")</f>
        <v>Директор</v>
      </c>
      <c r="I5" s="495"/>
      <c r="J5" s="492" t="str">
        <f>J93</f>
        <v>НЕТ ПОДПИСИ</v>
      </c>
      <c r="K5" s="493"/>
      <c r="L5" s="487" t="str">
        <f>INDEX(УЧРЕЖДЕНИЯ!K14:K52,MATCH(ТИТУЛ!CO20,УЧРЕЖДЕНИЯ!C14:C52,0))</f>
        <v>Габдулин Шамиль Рауильевич</v>
      </c>
      <c r="M5" s="488"/>
    </row>
    <row r="6" spans="1:14" ht="15" customHeight="1" x14ac:dyDescent="0.25">
      <c r="A6" s="325"/>
      <c r="B6" s="325"/>
      <c r="C6" s="325"/>
      <c r="D6" s="325"/>
      <c r="E6" s="325"/>
      <c r="F6" s="459"/>
      <c r="G6" s="114"/>
      <c r="H6" s="495"/>
      <c r="I6" s="495"/>
      <c r="J6" s="494"/>
      <c r="K6" s="494"/>
      <c r="L6" s="489"/>
      <c r="M6" s="489"/>
    </row>
    <row r="7" spans="1:14" s="19" customFormat="1" ht="15" customHeight="1" x14ac:dyDescent="0.25">
      <c r="C7" s="20"/>
      <c r="D7" s="20"/>
      <c r="E7" s="20"/>
      <c r="F7" s="112"/>
      <c r="G7" s="171"/>
      <c r="H7" s="497" t="s">
        <v>138</v>
      </c>
      <c r="I7" s="497"/>
      <c r="J7" s="498" t="s">
        <v>143</v>
      </c>
      <c r="K7" s="500"/>
      <c r="L7" s="498"/>
      <c r="M7" s="499"/>
    </row>
    <row r="8" spans="1:14" ht="15" customHeight="1" x14ac:dyDescent="0.3">
      <c r="A8" s="480" t="str">
        <f>CONCATENATE("СВЕДЕНИЯ"," ОТ ",ТИТУЛ!$DF$8," ",ТИТУЛ!$DF$9," ",ТИТУЛ!$DF$10,"Г. ОБ ОПЕРАЦИЯХ С ЦЕЛЕВЫМИ СУБСИДИЯМИ,")</f>
        <v>СВЕДЕНИЯ ОТ 4 ЯНВАРЯ 2022Г. ОБ ОПЕРАЦИЯХ С ЦЕЛЕВЫМИ СУБСИДИЯМИ,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21"/>
    </row>
    <row r="9" spans="1:14" ht="15" customHeight="1" x14ac:dyDescent="0.3">
      <c r="A9" s="480" t="str">
        <f>CONCATENATE("ПРЕДОСТАВЛЕННЫМИ УЧРЕЖДЕНИЮ НА ",ТИТУЛ!DG10," ГОД"," И НА ПЛАНОВЫЙ ПЕРИОД ",ТИТУЛ!DG10+1," И ",ТИТУЛ!DG10+2," ГОДОВ")</f>
        <v>ПРЕДОСТАВЛЕННЫМИ УЧРЕЖДЕНИЮ НА 2022 ГОД И НА ПЛАНОВЫЙ ПЕРИОД 2023 И 2024 ГОДОВ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109"/>
    </row>
    <row r="10" spans="1:14" ht="15" customHeight="1" x14ac:dyDescent="0.3">
      <c r="A10" s="482" t="s">
        <v>696</v>
      </c>
      <c r="B10" s="482" t="str">
        <f>INDEX(УЧРЕЖДЕНИЯ!E3:E12,MATCH((INDEX(УЧРЕЖДЕНИЯ!A14:A52,MATCH(ТИТУЛ!CO20,УЧРЕЖДЕНИЯ!C14:C52,0))),УЧРЕЖДЕНИЯ!A3:A12,0))</f>
        <v>Администрация городского округа город Шахунья Нижегородской области</v>
      </c>
      <c r="C10" s="485"/>
      <c r="D10" s="485"/>
      <c r="E10" s="485"/>
      <c r="F10" s="485"/>
      <c r="G10" s="485"/>
      <c r="H10" s="485"/>
      <c r="I10" s="485"/>
      <c r="J10" s="485"/>
      <c r="K10" s="188"/>
      <c r="L10" s="188"/>
      <c r="M10" s="218" t="s">
        <v>4</v>
      </c>
      <c r="N10" s="109"/>
    </row>
    <row r="11" spans="1:14" ht="15" customHeight="1" x14ac:dyDescent="0.3">
      <c r="A11" s="485"/>
      <c r="B11" s="485"/>
      <c r="C11" s="485"/>
      <c r="D11" s="485"/>
      <c r="E11" s="485"/>
      <c r="F11" s="485"/>
      <c r="G11" s="485"/>
      <c r="H11" s="485"/>
      <c r="I11" s="485"/>
      <c r="J11" s="485"/>
      <c r="K11" s="490" t="s">
        <v>623</v>
      </c>
      <c r="L11" s="491"/>
      <c r="M11" s="219">
        <f>INDEX(УЧРЕЖДЕНИЯ!D3:D12,MATCH((INDEX(УЧРЕЖДЕНИЯ!A14:A52,MATCH(ТИТУЛ!CO20,УЧРЕЖДЕНИЯ!C14:C52,0))),УЧРЕЖДЕНИЯ!A3:A12,0))</f>
        <v>22320044</v>
      </c>
      <c r="N11" s="77"/>
    </row>
    <row r="12" spans="1:14" ht="15" customHeight="1" x14ac:dyDescent="0.3">
      <c r="A12" s="486"/>
      <c r="B12" s="486"/>
      <c r="C12" s="486"/>
      <c r="D12" s="486"/>
      <c r="E12" s="486"/>
      <c r="F12" s="486"/>
      <c r="G12" s="486"/>
      <c r="H12" s="486"/>
      <c r="I12" s="486"/>
      <c r="J12" s="486"/>
      <c r="K12" s="503" t="s">
        <v>1</v>
      </c>
      <c r="L12" s="504"/>
      <c r="M12" s="219" t="str">
        <f>INDEX(УЧРЕЖДЕНИЯ!C3:C12,MATCH((INDEX(УЧРЕЖДЕНИЯ!A14:A52,MATCH(ТИТУЛ!CO20,УЧРЕЖДЕНИЯ!C14:C52,0))),УЧРЕЖДЕНИЯ!A3:A12,0))</f>
        <v>487</v>
      </c>
      <c r="N12" s="77"/>
    </row>
    <row r="13" spans="1:14" ht="15" customHeight="1" x14ac:dyDescent="0.3">
      <c r="A13" s="509" t="s">
        <v>694</v>
      </c>
      <c r="B13" s="506" t="str">
        <f>INDEX(УЧРЕЖДЕНИЯ!F14:F52,MATCH(ТИТУЛ!CO20,УЧРЕЖДЕНИЯ!C14:C52,0))</f>
        <v>Муниципальное автономное учреждение "Физкультурно-оздоровительный комплекс "Атлант" в г.Шахунья"</v>
      </c>
      <c r="C13" s="507"/>
      <c r="D13" s="507"/>
      <c r="E13" s="507"/>
      <c r="F13" s="507"/>
      <c r="G13" s="507"/>
      <c r="H13" s="507"/>
      <c r="I13" s="507"/>
      <c r="J13" s="507"/>
      <c r="K13" s="501" t="s">
        <v>623</v>
      </c>
      <c r="L13" s="502"/>
      <c r="M13" s="220">
        <f>INDEX(УЧРЕЖДЕНИЯ!B14:B53,MATCH(ТИТУЛ!CO20,УЧРЕЖДЕНИЯ!C14:C53,0))</f>
        <v>22320477</v>
      </c>
      <c r="N13" s="77"/>
    </row>
    <row r="14" spans="1:14" ht="15" customHeight="1" x14ac:dyDescent="0.3">
      <c r="A14" s="510"/>
      <c r="B14" s="508"/>
      <c r="C14" s="508"/>
      <c r="D14" s="508"/>
      <c r="E14" s="508"/>
      <c r="F14" s="508"/>
      <c r="G14" s="508"/>
      <c r="H14" s="508"/>
      <c r="I14" s="508"/>
      <c r="J14" s="508"/>
      <c r="K14" s="221"/>
      <c r="L14" s="222" t="s">
        <v>5</v>
      </c>
      <c r="M14" s="219">
        <f>ТИТУЛ!CO20</f>
        <v>5239009749</v>
      </c>
      <c r="N14" s="77"/>
    </row>
    <row r="15" spans="1:14" ht="15" customHeight="1" x14ac:dyDescent="0.3">
      <c r="A15" s="510"/>
      <c r="B15" s="508"/>
      <c r="C15" s="508"/>
      <c r="D15" s="508"/>
      <c r="E15" s="508"/>
      <c r="F15" s="508"/>
      <c r="G15" s="508"/>
      <c r="H15" s="508"/>
      <c r="I15" s="508"/>
      <c r="J15" s="508"/>
      <c r="K15" s="221"/>
      <c r="L15" s="223" t="s">
        <v>6</v>
      </c>
      <c r="M15" s="224">
        <v>523901001</v>
      </c>
      <c r="N15" s="77"/>
    </row>
    <row r="16" spans="1:14" ht="15" customHeight="1" thickBot="1" x14ac:dyDescent="0.3">
      <c r="A16" s="540" t="s">
        <v>768</v>
      </c>
      <c r="B16" s="530" t="s">
        <v>180</v>
      </c>
      <c r="C16" s="530" t="s">
        <v>290</v>
      </c>
      <c r="D16" s="537" t="s">
        <v>12</v>
      </c>
      <c r="E16" s="530" t="s">
        <v>772</v>
      </c>
      <c r="F16" s="524" t="str">
        <f>CONCATENATE("Остаток субсидий на начало ",ТИТУЛ!DG10," Г.")</f>
        <v>Остаток субсидий на начало 2022 Г.</v>
      </c>
      <c r="G16" s="524" t="str">
        <f>CONCATENATE("Дебиторская задолженность в ",ТИТУЛ!DG10," Г.")</f>
        <v>Дебиторская задолженность в 2022 Г.</v>
      </c>
      <c r="H16" s="444" t="s">
        <v>697</v>
      </c>
      <c r="I16" s="526"/>
      <c r="J16" s="526"/>
      <c r="K16" s="526"/>
      <c r="L16" s="526"/>
      <c r="M16" s="527"/>
      <c r="N16" s="21"/>
    </row>
    <row r="17" spans="1:16" ht="15" customHeight="1" x14ac:dyDescent="0.25">
      <c r="A17" s="535"/>
      <c r="B17" s="533"/>
      <c r="C17" s="535"/>
      <c r="D17" s="538"/>
      <c r="E17" s="531"/>
      <c r="F17" s="525"/>
      <c r="G17" s="525"/>
      <c r="H17" s="512" t="str">
        <f>CONCATENATE(ТИТУЛ!$DG$10," Г.")</f>
        <v>2022 Г.</v>
      </c>
      <c r="I17" s="513"/>
      <c r="J17" s="514" t="str">
        <f>CONCATENATE(ТИТУЛ!$DG$10+1," Г.")</f>
        <v>2023 Г.</v>
      </c>
      <c r="K17" s="515"/>
      <c r="L17" s="515" t="str">
        <f>CONCATENATE(ТИТУЛ!$DG$10+2," Г.")</f>
        <v>2024 Г.</v>
      </c>
      <c r="M17" s="515"/>
    </row>
    <row r="18" spans="1:16" ht="15" customHeight="1" x14ac:dyDescent="0.25">
      <c r="A18" s="536"/>
      <c r="B18" s="534"/>
      <c r="C18" s="536"/>
      <c r="D18" s="539"/>
      <c r="E18" s="532"/>
      <c r="F18" s="525"/>
      <c r="G18" s="525"/>
      <c r="H18" s="135" t="s">
        <v>11</v>
      </c>
      <c r="I18" s="136" t="s">
        <v>10</v>
      </c>
      <c r="J18" s="118" t="s">
        <v>11</v>
      </c>
      <c r="K18" s="182" t="s">
        <v>10</v>
      </c>
      <c r="L18" s="182" t="s">
        <v>11</v>
      </c>
      <c r="M18" s="182" t="s">
        <v>10</v>
      </c>
      <c r="N18" s="18">
        <f>ROW()</f>
        <v>18</v>
      </c>
    </row>
    <row r="19" spans="1:16" ht="15" customHeight="1" x14ac:dyDescent="0.25">
      <c r="A19" s="183" t="str">
        <f t="array" ref="A19:A90">IFERROR(INDEX(КБК!$E$888:$E$1045,SMALL(IF(((NOT(ISERR(SEARCH(ПОКАЗАТЕЛИ!O1,КБК!$D$888:$D$1045))))),ROW(КБК!$E$888:$E$1045)-КБК!$A$888+1,""),ROW()-N18)),"")</f>
        <v>двор.практика 0160425170.150.0</v>
      </c>
      <c r="B19" s="110" t="str">
        <f t="array" ref="B19:B90">IFERROR(INDEX(КБК!$H$888:$H$1045,SMALL(IF(((NOT(ISERR(SEARCH(ПОКАЗАТЕЛИ!O1,КБК!$D$888:$D$1045))))),ROW(КБК!$G$888:$G$1045)-КБК!$A$888+1,""),ROW()-N18)),"")</f>
        <v>0707</v>
      </c>
      <c r="C19" s="110">
        <f t="array" ref="C19:C90">IFERROR(INDEX(КБК!$G$888:$G$1045,SMALL(IF(((NOT(ISERR(SEARCH(ПОКАЗАТЕЛИ!O1,КБК!$D$888:$D$1045))))),ROW(КБК!$G$888:$G$1045)-КБК!$A$888+1,""),ROW()-N18)),"")</f>
        <v>150</v>
      </c>
      <c r="D19" s="110">
        <f t="array" ref="D19:D90">IFERROR(INDEX(КБК!$F$888:$F$1045,SMALL(IF(((NOT(ISERR(SEARCH(ПОКАЗАТЕЛИ!O1,КБК!$D$888:$D$1045))))),ROW(КБК!$G$888:$G$1045)-КБК!$A$888+1,""),ROW()-N18)),"")</f>
        <v>152</v>
      </c>
      <c r="E19" s="111"/>
      <c r="F19" s="189" t="str">
        <f>IFERROR(INDEX(ПОКАЗАТЕЛИ!$A$6:$H$20,MATCH(1,INDEX((A19=ПОКАЗАТЕЛИ!$A$6:$A$20)*(C19=ПОКАЗАТЕЛИ!$C$6:$C$20)*(D19=ПОКАЗАТЕЛИ!$D$6:$D$20),),0),6),"")</f>
        <v/>
      </c>
      <c r="G19" s="170"/>
      <c r="H19" s="190">
        <f>IFERROR(INDEX(ПОКАЗАТЕЛИ!$A$21:$H$83,MATCH(1,INDEX((A19=ПОКАЗАТЕЛИ!$A$21:$A$83)*(C19=ПОКАЗАТЕЛИ!$C$21:$C$83)*(D19=ПОКАЗАТЕЛИ!$D$21:$D$83),),0),6),"")</f>
        <v>0</v>
      </c>
      <c r="I19" s="191" t="str">
        <f>IFERROR(INDEX(ПОКАЗАТЕЛИ!$A$84:$H$346,MATCH(1,INDEX((A19=ПОКАЗАТЕЛИ!$A$84:$A$346)*(C19=ПОКАЗАТЕЛИ!$C$84:$C$346)*(D19=ПОКАЗАТЕЛИ!$D$84:$D$346),),0),6),"")</f>
        <v/>
      </c>
      <c r="J19" s="119">
        <f>IFERROR(INDEX(ПОКАЗАТЕЛИ!$A$21:$H$83,MATCH(1,INDEX((A19=ПОКАЗАТЕЛИ!$A$21:$A$83)*(C19=ПОКАЗАТЕЛИ!$C$21:$C$83)*(D19=ПОКАЗАТЕЛИ!$D$21:$D$83),),0),7),"")</f>
        <v>0</v>
      </c>
      <c r="K19" s="172" t="str">
        <f>IFERROR(INDEX(ПОКАЗАТЕЛИ!$A$84:$H$346,MATCH(1,INDEX((A19=ПОКАЗАТЕЛИ!$A$84:$A$346)*(C19=ПОКАЗАТЕЛИ!$C$84:$C$346)*(D19=ПОКАЗАТЕЛИ!$D$84:$D$346),),0),7),"")</f>
        <v/>
      </c>
      <c r="L19" s="172">
        <f>IFERROR(INDEX(ПОКАЗАТЕЛИ!$A$21:$H$83,MATCH(1,INDEX((A19=ПОКАЗАТЕЛИ!$A$21:$A$83)*(C19=ПОКАЗАТЕЛИ!$C$21:$C$83)*(D19=ПОКАЗАТЕЛИ!$D$21:$D$83),),0),8),"")</f>
        <v>0</v>
      </c>
      <c r="M19" s="172" t="str">
        <f>IFERROR(INDEX(ПОКАЗАТЕЛИ!$A$84:$H$346,MATCH(1,INDEX((A19=ПОКАЗАТЕЛИ!$A$84:$A$346)*(C19=ПОКАЗАТЕЛИ!$C$84:$C$346)*(D19=ПОКАЗАТЕЛИ!$D$84:$D$346),),0),8),"")</f>
        <v/>
      </c>
      <c r="N19" s="212"/>
      <c r="O19" s="211"/>
      <c r="P19" s="211"/>
    </row>
    <row r="20" spans="1:16" ht="15" customHeight="1" x14ac:dyDescent="0.25">
      <c r="A20" s="183" t="str">
        <v>двор.практика 0160425170.244.0</v>
      </c>
      <c r="B20" s="110" t="str">
        <v>0707</v>
      </c>
      <c r="C20" s="110">
        <v>244</v>
      </c>
      <c r="D20" s="110">
        <v>310</v>
      </c>
      <c r="E20" s="111"/>
      <c r="F20" s="189" t="str">
        <f>IFERROR(INDEX(ПОКАЗАТЕЛИ!$A$6:$H$20,MATCH(1,INDEX((A20=ПОКАЗАТЕЛИ!$A$6:$A$20)*(C20=ПОКАЗАТЕЛИ!$C$6:$C$20)*(D20=ПОКАЗАТЕЛИ!$D$6:$D$20),),0),6),"")</f>
        <v/>
      </c>
      <c r="G20" s="170"/>
      <c r="H20" s="190" t="str">
        <f>IFERROR(INDEX(ПОКАЗАТЕЛИ!$A$21:$H$83,MATCH(1,INDEX((A20=ПОКАЗАТЕЛИ!$A$21:$A$83)*(C20=ПОКАЗАТЕЛИ!$C$21:$C$83)*(D20=ПОКАЗАТЕЛИ!$D$21:$D$83),),0),6),"")</f>
        <v/>
      </c>
      <c r="I20" s="191">
        <f>IFERROR(INDEX(ПОКАЗАТЕЛИ!$A$84:$H$346,MATCH(1,INDEX((A20=ПОКАЗАТЕЛИ!$A$84:$A$346)*(C20=ПОКАЗАТЕЛИ!$C$84:$C$346)*(D20=ПОКАЗАТЕЛИ!$D$84:$D$346),),0),6),"")</f>
        <v>0</v>
      </c>
      <c r="J20" s="119" t="str">
        <f>IFERROR(INDEX(ПОКАЗАТЕЛИ!$A$21:$H$83,MATCH(1,INDEX((A20=ПОКАЗАТЕЛИ!$A$21:$A$83)*(C20=ПОКАЗАТЕЛИ!$C$21:$C$83)*(D20=ПОКАЗАТЕЛИ!$D$21:$D$83),),0),7),"")</f>
        <v/>
      </c>
      <c r="K20" s="172">
        <f>IFERROR(INDEX(ПОКАЗАТЕЛИ!$A$84:$H$346,MATCH(1,INDEX((A20=ПОКАЗАТЕЛИ!$A$84:$A$346)*(C20=ПОКАЗАТЕЛИ!$C$84:$C$346)*(D20=ПОКАЗАТЕЛИ!$D$84:$D$346),),0),7),"")</f>
        <v>0</v>
      </c>
      <c r="L20" s="172" t="str">
        <f>IFERROR(INDEX(ПОКАЗАТЕЛИ!$A$21:$H$83,MATCH(1,INDEX((A20=ПОКАЗАТЕЛИ!$A$21:$A$83)*(C20=ПОКАЗАТЕЛИ!$C$21:$C$83)*(D20=ПОКАЗАТЕЛИ!$D$21:$D$83),),0),8),"")</f>
        <v/>
      </c>
      <c r="M20" s="172">
        <f>IFERROR(INDEX(ПОКАЗАТЕЛИ!$A$84:$H$346,MATCH(1,INDEX((A20=ПОКАЗАТЕЛИ!$A$84:$A$346)*(C20=ПОКАЗАТЕЛИ!$C$84:$C$346)*(D20=ПОКАЗАТЕЛИ!$D$84:$D$346),),0),8),"")</f>
        <v>0</v>
      </c>
      <c r="N20" s="211"/>
      <c r="O20" s="211"/>
      <c r="P20" s="211"/>
    </row>
    <row r="21" spans="1:16" ht="15" customHeight="1" x14ac:dyDescent="0.25">
      <c r="A21" s="183" t="str">
        <v>двор.практика 0160425170.244.0</v>
      </c>
      <c r="B21" s="110" t="str">
        <v>0707</v>
      </c>
      <c r="C21" s="110">
        <v>244</v>
      </c>
      <c r="D21" s="110">
        <v>341</v>
      </c>
      <c r="E21" s="111"/>
      <c r="F21" s="189" t="str">
        <f>IFERROR(INDEX(ПОКАЗАТЕЛИ!$A$6:$H$20,MATCH(1,INDEX((A21=ПОКАЗАТЕЛИ!$A$6:$A$20)*(C21=ПОКАЗАТЕЛИ!$C$6:$C$20)*(D21=ПОКАЗАТЕЛИ!$D$6:$D$20),),0),6),"")</f>
        <v/>
      </c>
      <c r="G21" s="170"/>
      <c r="H21" s="190" t="str">
        <f>IFERROR(INDEX(ПОКАЗАТЕЛИ!$A$21:$H$83,MATCH(1,INDEX((A21=ПОКАЗАТЕЛИ!$A$21:$A$83)*(C21=ПОКАЗАТЕЛИ!$C$21:$C$83)*(D21=ПОКАЗАТЕЛИ!$D$21:$D$83),),0),6),"")</f>
        <v/>
      </c>
      <c r="I21" s="191">
        <f>IFERROR(INDEX(ПОКАЗАТЕЛИ!$A$84:$H$346,MATCH(1,INDEX((A21=ПОКАЗАТЕЛИ!$A$84:$A$346)*(C21=ПОКАЗАТЕЛИ!$C$84:$C$346)*(D21=ПОКАЗАТЕЛИ!$D$84:$D$346),),0),6),"")</f>
        <v>0</v>
      </c>
      <c r="J21" s="119" t="str">
        <f>IFERROR(INDEX(ПОКАЗАТЕЛИ!$A$21:$H$83,MATCH(1,INDEX((A21=ПОКАЗАТЕЛИ!$A$21:$A$83)*(C21=ПОКАЗАТЕЛИ!$C$21:$C$83)*(D21=ПОКАЗАТЕЛИ!$D$21:$D$83),),0),7),"")</f>
        <v/>
      </c>
      <c r="K21" s="172">
        <f>IFERROR(INDEX(ПОКАЗАТЕЛИ!$A$84:$H$346,MATCH(1,INDEX((A21=ПОКАЗАТЕЛИ!$A$84:$A$346)*(C21=ПОКАЗАТЕЛИ!$C$84:$C$346)*(D21=ПОКАЗАТЕЛИ!$D$84:$D$346),),0),7),"")</f>
        <v>0</v>
      </c>
      <c r="L21" s="172" t="str">
        <f>IFERROR(INDEX(ПОКАЗАТЕЛИ!$A$21:$H$83,MATCH(1,INDEX((A21=ПОКАЗАТЕЛИ!$A$21:$A$83)*(C21=ПОКАЗАТЕЛИ!$C$21:$C$83)*(D21=ПОКАЗАТЕЛИ!$D$21:$D$83),),0),8),"")</f>
        <v/>
      </c>
      <c r="M21" s="172">
        <f>IFERROR(INDEX(ПОКАЗАТЕЛИ!$A$84:$H$346,MATCH(1,INDEX((A21=ПОКАЗАТЕЛИ!$A$84:$A$346)*(C21=ПОКАЗАТЕЛИ!$C$84:$C$346)*(D21=ПОКАЗАТЕЛИ!$D$84:$D$346),),0),8),"")</f>
        <v>0</v>
      </c>
    </row>
    <row r="22" spans="1:16" ht="15" customHeight="1" x14ac:dyDescent="0.25">
      <c r="A22" s="183" t="str">
        <v>двор.практика 0160425170.244.0</v>
      </c>
      <c r="B22" s="110" t="str">
        <v>0707</v>
      </c>
      <c r="C22" s="110">
        <v>244</v>
      </c>
      <c r="D22" s="110">
        <v>346</v>
      </c>
      <c r="E22" s="111"/>
      <c r="F22" s="189" t="str">
        <f>IFERROR(INDEX(ПОКАЗАТЕЛИ!$A$6:$H$20,MATCH(1,INDEX((A22=ПОКАЗАТЕЛИ!$A$6:$A$20)*(C22=ПОКАЗАТЕЛИ!$C$6:$C$20)*(D22=ПОКАЗАТЕЛИ!$D$6:$D$20),),0),6),"")</f>
        <v/>
      </c>
      <c r="G22" s="170"/>
      <c r="H22" s="190" t="str">
        <f>IFERROR(INDEX(ПОКАЗАТЕЛИ!$A$21:$H$83,MATCH(1,INDEX((A22=ПОКАЗАТЕЛИ!$A$21:$A$83)*(C22=ПОКАЗАТЕЛИ!$C$21:$C$83)*(D22=ПОКАЗАТЕЛИ!$D$21:$D$83),),0),6),"")</f>
        <v/>
      </c>
      <c r="I22" s="191">
        <f>IFERROR(INDEX(ПОКАЗАТЕЛИ!$A$84:$H$346,MATCH(1,INDEX((A22=ПОКАЗАТЕЛИ!$A$84:$A$346)*(C22=ПОКАЗАТЕЛИ!$C$84:$C$346)*(D22=ПОКАЗАТЕЛИ!$D$84:$D$346),),0),6),"")</f>
        <v>0</v>
      </c>
      <c r="J22" s="119" t="str">
        <f>IFERROR(INDEX(ПОКАЗАТЕЛИ!$A$21:$H$83,MATCH(1,INDEX((A22=ПОКАЗАТЕЛИ!$A$21:$A$83)*(C22=ПОКАЗАТЕЛИ!$C$21:$C$83)*(D22=ПОКАЗАТЕЛИ!$D$21:$D$83),),0),7),"")</f>
        <v/>
      </c>
      <c r="K22" s="172">
        <f>IFERROR(INDEX(ПОКАЗАТЕЛИ!$A$84:$H$346,MATCH(1,INDEX((A22=ПОКАЗАТЕЛИ!$A$84:$A$346)*(C22=ПОКАЗАТЕЛИ!$C$84:$C$346)*(D22=ПОКАЗАТЕЛИ!$D$84:$D$346),),0),7),"")</f>
        <v>0</v>
      </c>
      <c r="L22" s="172" t="str">
        <f>IFERROR(INDEX(ПОКАЗАТЕЛИ!$A$21:$H$83,MATCH(1,INDEX((A22=ПОКАЗАТЕЛИ!$A$21:$A$83)*(C22=ПОКАЗАТЕЛИ!$C$21:$C$83)*(D22=ПОКАЗАТЕЛИ!$D$21:$D$83),),0),8),"")</f>
        <v/>
      </c>
      <c r="M22" s="172">
        <f>IFERROR(INDEX(ПОКАЗАТЕЛИ!$A$84:$H$346,MATCH(1,INDEX((A22=ПОКАЗАТЕЛИ!$A$84:$A$346)*(C22=ПОКАЗАТЕЛИ!$C$84:$C$346)*(D22=ПОКАЗАТЕЛИ!$D$84:$D$346),),0),8),"")</f>
        <v>0</v>
      </c>
    </row>
    <row r="23" spans="1:16" ht="15" customHeight="1" x14ac:dyDescent="0.25">
      <c r="A23" s="183" t="str">
        <v>двор.практика 0160425170.244.0</v>
      </c>
      <c r="B23" s="110" t="str">
        <v>0707</v>
      </c>
      <c r="C23" s="110">
        <v>244</v>
      </c>
      <c r="D23" s="110">
        <v>349</v>
      </c>
      <c r="E23" s="111"/>
      <c r="F23" s="189" t="str">
        <f>IFERROR(INDEX(ПОКАЗАТЕЛИ!$A$6:$H$20,MATCH(1,INDEX((A23=ПОКАЗАТЕЛИ!$A$6:$A$20)*(C23=ПОКАЗАТЕЛИ!$C$6:$C$20)*(D23=ПОКАЗАТЕЛИ!$D$6:$D$20),),0),6),"")</f>
        <v/>
      </c>
      <c r="G23" s="170"/>
      <c r="H23" s="190" t="str">
        <f>IFERROR(INDEX(ПОКАЗАТЕЛИ!$A$21:$H$83,MATCH(1,INDEX((A23=ПОКАЗАТЕЛИ!$A$21:$A$83)*(C23=ПОКАЗАТЕЛИ!$C$21:$C$83)*(D23=ПОКАЗАТЕЛИ!$D$21:$D$83),),0),6),"")</f>
        <v/>
      </c>
      <c r="I23" s="191">
        <f>IFERROR(INDEX(ПОКАЗАТЕЛИ!$A$84:$H$346,MATCH(1,INDEX((A23=ПОКАЗАТЕЛИ!$A$84:$A$346)*(C23=ПОКАЗАТЕЛИ!$C$84:$C$346)*(D23=ПОКАЗАТЕЛИ!$D$84:$D$346),),0),6),"")</f>
        <v>0</v>
      </c>
      <c r="J23" s="119" t="str">
        <f>IFERROR(INDEX(ПОКАЗАТЕЛИ!$A$21:$H$83,MATCH(1,INDEX((A23=ПОКАЗАТЕЛИ!$A$21:$A$83)*(C23=ПОКАЗАТЕЛИ!$C$21:$C$83)*(D23=ПОКАЗАТЕЛИ!$D$21:$D$83),),0),7),"")</f>
        <v/>
      </c>
      <c r="K23" s="172">
        <f>IFERROR(INDEX(ПОКАЗАТЕЛИ!$A$84:$H$346,MATCH(1,INDEX((A23=ПОКАЗАТЕЛИ!$A$84:$A$346)*(C23=ПОКАЗАТЕЛИ!$C$84:$C$346)*(D23=ПОКАЗАТЕЛИ!$D$84:$D$346),),0),7),"")</f>
        <v>0</v>
      </c>
      <c r="L23" s="172" t="str">
        <f>IFERROR(INDEX(ПОКАЗАТЕЛИ!$A$21:$H$83,MATCH(1,INDEX((A23=ПОКАЗАТЕЛИ!$A$21:$A$83)*(C23=ПОКАЗАТЕЛИ!$C$21:$C$83)*(D23=ПОКАЗАТЕЛИ!$D$21:$D$83),),0),8),"")</f>
        <v/>
      </c>
      <c r="M23" s="172">
        <f>IFERROR(INDEX(ПОКАЗАТЕЛИ!$A$84:$H$346,MATCH(1,INDEX((A23=ПОКАЗАТЕЛИ!$A$84:$A$346)*(C23=ПОКАЗАТЕЛИ!$C$84:$C$346)*(D23=ПОКАЗАТЕЛИ!$D$84:$D$346),),0),8),"")</f>
        <v>0</v>
      </c>
    </row>
    <row r="24" spans="1:16" ht="15" customHeight="1" x14ac:dyDescent="0.25">
      <c r="A24" s="183" t="str">
        <v>парк Покровский 2200274650.150.0</v>
      </c>
      <c r="B24" s="110" t="str">
        <v>0503</v>
      </c>
      <c r="C24" s="110">
        <v>150</v>
      </c>
      <c r="D24" s="110">
        <v>152</v>
      </c>
      <c r="E24" s="111"/>
      <c r="F24" s="189" t="str">
        <f>IFERROR(INDEX(ПОКАЗАТЕЛИ!$A$6:$H$20,MATCH(1,INDEX((A24=ПОКАЗАТЕЛИ!$A$6:$A$20)*(C24=ПОКАЗАТЕЛИ!$C$6:$C$20)*(D24=ПОКАЗАТЕЛИ!$D$6:$D$20),),0),6),"")</f>
        <v/>
      </c>
      <c r="G24" s="170"/>
      <c r="H24" s="190">
        <f>IFERROR(INDEX(ПОКАЗАТЕЛИ!$A$21:$H$83,MATCH(1,INDEX((A24=ПОКАЗАТЕЛИ!$A$21:$A$83)*(C24=ПОКАЗАТЕЛИ!$C$21:$C$83)*(D24=ПОКАЗАТЕЛИ!$D$21:$D$83),),0),6),"")</f>
        <v>0</v>
      </c>
      <c r="I24" s="191" t="str">
        <f>IFERROR(INDEX(ПОКАЗАТЕЛИ!$A$84:$H$346,MATCH(1,INDEX((A24=ПОКАЗАТЕЛИ!$A$84:$A$346)*(C24=ПОКАЗАТЕЛИ!$C$84:$C$346)*(D24=ПОКАЗАТЕЛИ!$D$84:$D$346),),0),6),"")</f>
        <v/>
      </c>
      <c r="J24" s="119">
        <f>IFERROR(INDEX(ПОКАЗАТЕЛИ!$A$21:$H$83,MATCH(1,INDEX((A24=ПОКАЗАТЕЛИ!$A$21:$A$83)*(C24=ПОКАЗАТЕЛИ!$C$21:$C$83)*(D24=ПОКАЗАТЕЛИ!$D$21:$D$83),),0),7),"")</f>
        <v>0</v>
      </c>
      <c r="K24" s="172" t="str">
        <f>IFERROR(INDEX(ПОКАЗАТЕЛИ!$A$84:$H$346,MATCH(1,INDEX((A24=ПОКАЗАТЕЛИ!$A$84:$A$346)*(C24=ПОКАЗАТЕЛИ!$C$84:$C$346)*(D24=ПОКАЗАТЕЛИ!$D$84:$D$346),),0),7),"")</f>
        <v/>
      </c>
      <c r="L24" s="172">
        <f>IFERROR(INDEX(ПОКАЗАТЕЛИ!$A$21:$H$83,MATCH(1,INDEX((A24=ПОКАЗАТЕЛИ!$A$21:$A$83)*(C24=ПОКАЗАТЕЛИ!$C$21:$C$83)*(D24=ПОКАЗАТЕЛИ!$D$21:$D$83),),0),8),"")</f>
        <v>0</v>
      </c>
      <c r="M24" s="172" t="str">
        <f>IFERROR(INDEX(ПОКАЗАТЕЛИ!$A$84:$H$346,MATCH(1,INDEX((A24=ПОКАЗАТЕЛИ!$A$84:$A$346)*(C24=ПОКАЗАТЕЛИ!$C$84:$C$346)*(D24=ПОКАЗАТЕЛИ!$D$84:$D$346),),0),8),"")</f>
        <v/>
      </c>
    </row>
    <row r="25" spans="1:16" ht="15" customHeight="1" x14ac:dyDescent="0.25">
      <c r="A25" s="183" t="str">
        <v>парк Покровский 2200274650.244.0</v>
      </c>
      <c r="B25" s="110" t="str">
        <v>0503</v>
      </c>
      <c r="C25" s="110">
        <v>244</v>
      </c>
      <c r="D25" s="110">
        <v>226</v>
      </c>
      <c r="E25" s="111"/>
      <c r="F25" s="189" t="str">
        <f>IFERROR(INDEX(ПОКАЗАТЕЛИ!$A$6:$H$20,MATCH(1,INDEX((A25=ПОКАЗАТЕЛИ!$A$6:$A$20)*(C25=ПОКАЗАТЕЛИ!$C$6:$C$20)*(D25=ПОКАЗАТЕЛИ!$D$6:$D$20),),0),6),"")</f>
        <v/>
      </c>
      <c r="G25" s="170"/>
      <c r="H25" s="190" t="str">
        <f>IFERROR(INDEX(ПОКАЗАТЕЛИ!$A$21:$H$83,MATCH(1,INDEX((A25=ПОКАЗАТЕЛИ!$A$21:$A$83)*(C25=ПОКАЗАТЕЛИ!$C$21:$C$83)*(D25=ПОКАЗАТЕЛИ!$D$21:$D$83),),0),6),"")</f>
        <v/>
      </c>
      <c r="I25" s="191">
        <f>IFERROR(INDEX(ПОКАЗАТЕЛИ!$A$84:$H$346,MATCH(1,INDEX((A25=ПОКАЗАТЕЛИ!$A$84:$A$346)*(C25=ПОКАЗАТЕЛИ!$C$84:$C$346)*(D25=ПОКАЗАТЕЛИ!$D$84:$D$346),),0),6),"")</f>
        <v>0</v>
      </c>
      <c r="J25" s="119" t="str">
        <f>IFERROR(INDEX(ПОКАЗАТЕЛИ!$A$21:$H$83,MATCH(1,INDEX((A25=ПОКАЗАТЕЛИ!$A$21:$A$83)*(C25=ПОКАЗАТЕЛИ!$C$21:$C$83)*(D25=ПОКАЗАТЕЛИ!$D$21:$D$83),),0),7),"")</f>
        <v/>
      </c>
      <c r="K25" s="172">
        <f>IFERROR(INDEX(ПОКАЗАТЕЛИ!$A$84:$H$346,MATCH(1,INDEX((A25=ПОКАЗАТЕЛИ!$A$84:$A$346)*(C25=ПОКАЗАТЕЛИ!$C$84:$C$346)*(D25=ПОКАЗАТЕЛИ!$D$84:$D$346),),0),7),"")</f>
        <v>0</v>
      </c>
      <c r="L25" s="172" t="str">
        <f>IFERROR(INDEX(ПОКАЗАТЕЛИ!$A$21:$H$83,MATCH(1,INDEX((A25=ПОКАЗАТЕЛИ!$A$21:$A$83)*(C25=ПОКАЗАТЕЛИ!$C$21:$C$83)*(D25=ПОКАЗАТЕЛИ!$D$21:$D$83),),0),8),"")</f>
        <v/>
      </c>
      <c r="M25" s="172">
        <f>IFERROR(INDEX(ПОКАЗАТЕЛИ!$A$84:$H$346,MATCH(1,INDEX((A25=ПОКАЗАТЕЛИ!$A$84:$A$346)*(C25=ПОКАЗАТЕЛИ!$C$84:$C$346)*(D25=ПОКАЗАТЕЛИ!$D$84:$D$346),),0),8),"")</f>
        <v>0</v>
      </c>
    </row>
    <row r="26" spans="1:16" ht="15" customHeight="1" x14ac:dyDescent="0.25">
      <c r="A26" s="183" t="str">
        <v>поддержка 7770622000.150.0</v>
      </c>
      <c r="B26" s="110" t="str">
        <v>1102</v>
      </c>
      <c r="C26" s="110">
        <v>150</v>
      </c>
      <c r="D26" s="110">
        <v>152</v>
      </c>
      <c r="E26" s="111"/>
      <c r="F26" s="189" t="str">
        <f>IFERROR(INDEX(ПОКАЗАТЕЛИ!$A$6:$H$20,MATCH(1,INDEX((A26=ПОКАЗАТЕЛИ!$A$6:$A$20)*(C26=ПОКАЗАТЕЛИ!$C$6:$C$20)*(D26=ПОКАЗАТЕЛИ!$D$6:$D$20),),0),6),"")</f>
        <v/>
      </c>
      <c r="G26" s="170"/>
      <c r="H26" s="190">
        <f>IFERROR(INDEX(ПОКАЗАТЕЛИ!$A$21:$H$83,MATCH(1,INDEX((A26=ПОКАЗАТЕЛИ!$A$21:$A$83)*(C26=ПОКАЗАТЕЛИ!$C$21:$C$83)*(D26=ПОКАЗАТЕЛИ!$D$21:$D$83),),0),6),"")</f>
        <v>0</v>
      </c>
      <c r="I26" s="191" t="str">
        <f>IFERROR(INDEX(ПОКАЗАТЕЛИ!$A$84:$H$346,MATCH(1,INDEX((A26=ПОКАЗАТЕЛИ!$A$84:$A$346)*(C26=ПОКАЗАТЕЛИ!$C$84:$C$346)*(D26=ПОКАЗАТЕЛИ!$D$84:$D$346),),0),6),"")</f>
        <v/>
      </c>
      <c r="J26" s="119">
        <f>IFERROR(INDEX(ПОКАЗАТЕЛИ!$A$21:$H$83,MATCH(1,INDEX((A26=ПОКАЗАТЕЛИ!$A$21:$A$83)*(C26=ПОКАЗАТЕЛИ!$C$21:$C$83)*(D26=ПОКАЗАТЕЛИ!$D$21:$D$83),),0),7),"")</f>
        <v>0</v>
      </c>
      <c r="K26" s="172" t="str">
        <f>IFERROR(INDEX(ПОКАЗАТЕЛИ!$A$84:$H$346,MATCH(1,INDEX((A26=ПОКАЗАТЕЛИ!$A$84:$A$346)*(C26=ПОКАЗАТЕЛИ!$C$84:$C$346)*(D26=ПОКАЗАТЕЛИ!$D$84:$D$346),),0),7),"")</f>
        <v/>
      </c>
      <c r="L26" s="172">
        <f>IFERROR(INDEX(ПОКАЗАТЕЛИ!$A$21:$H$83,MATCH(1,INDEX((A26=ПОКАЗАТЕЛИ!$A$21:$A$83)*(C26=ПОКАЗАТЕЛИ!$C$21:$C$83)*(D26=ПОКАЗАТЕЛИ!$D$21:$D$83),),0),8),"")</f>
        <v>0</v>
      </c>
      <c r="M26" s="172" t="str">
        <f>IFERROR(INDEX(ПОКАЗАТЕЛИ!$A$84:$H$346,MATCH(1,INDEX((A26=ПОКАЗАТЕЛИ!$A$84:$A$346)*(C26=ПОКАЗАТЕЛИ!$C$84:$C$346)*(D26=ПОКАЗАТЕЛИ!$D$84:$D$346),),0),8),"")</f>
        <v/>
      </c>
    </row>
    <row r="27" spans="1:16" ht="15" customHeight="1" x14ac:dyDescent="0.25">
      <c r="A27" s="183" t="str">
        <v>поддержка 7770622000.244.0</v>
      </c>
      <c r="B27" s="110" t="str">
        <v>1102</v>
      </c>
      <c r="C27" s="110">
        <v>244</v>
      </c>
      <c r="D27" s="110">
        <v>225</v>
      </c>
      <c r="E27" s="111"/>
      <c r="F27" s="189" t="str">
        <f>IFERROR(INDEX(ПОКАЗАТЕЛИ!$A$6:$H$20,MATCH(1,INDEX((A27=ПОКАЗАТЕЛИ!$A$6:$A$20)*(C27=ПОКАЗАТЕЛИ!$C$6:$C$20)*(D27=ПОКАЗАТЕЛИ!$D$6:$D$20),),0),6),"")</f>
        <v/>
      </c>
      <c r="G27" s="170"/>
      <c r="H27" s="190" t="str">
        <f>IFERROR(INDEX(ПОКАЗАТЕЛИ!$A$21:$H$83,MATCH(1,INDEX((A27=ПОКАЗАТЕЛИ!$A$21:$A$83)*(C27=ПОКАЗАТЕЛИ!$C$21:$C$83)*(D27=ПОКАЗАТЕЛИ!$D$21:$D$83),),0),6),"")</f>
        <v/>
      </c>
      <c r="I27" s="191">
        <f>IFERROR(INDEX(ПОКАЗАТЕЛИ!$A$84:$H$346,MATCH(1,INDEX((A27=ПОКАЗАТЕЛИ!$A$84:$A$346)*(C27=ПОКАЗАТЕЛИ!$C$84:$C$346)*(D27=ПОКАЗАТЕЛИ!$D$84:$D$346),),0),6),"")</f>
        <v>0</v>
      </c>
      <c r="J27" s="119" t="str">
        <f>IFERROR(INDEX(ПОКАЗАТЕЛИ!$A$21:$H$83,MATCH(1,INDEX((A27=ПОКАЗАТЕЛИ!$A$21:$A$83)*(C27=ПОКАЗАТЕЛИ!$C$21:$C$83)*(D27=ПОКАЗАТЕЛИ!$D$21:$D$83),),0),7),"")</f>
        <v/>
      </c>
      <c r="K27" s="172">
        <f>IFERROR(INDEX(ПОКАЗАТЕЛИ!$A$84:$H$346,MATCH(1,INDEX((A27=ПОКАЗАТЕЛИ!$A$84:$A$346)*(C27=ПОКАЗАТЕЛИ!$C$84:$C$346)*(D27=ПОКАЗАТЕЛИ!$D$84:$D$346),),0),7),"")</f>
        <v>0</v>
      </c>
      <c r="L27" s="172" t="str">
        <f>IFERROR(INDEX(ПОКАЗАТЕЛИ!$A$21:$H$83,MATCH(1,INDEX((A27=ПОКАЗАТЕЛИ!$A$21:$A$83)*(C27=ПОКАЗАТЕЛИ!$C$21:$C$83)*(D27=ПОКАЗАТЕЛИ!$D$21:$D$83),),0),8),"")</f>
        <v/>
      </c>
      <c r="M27" s="172">
        <f>IFERROR(INDEX(ПОКАЗАТЕЛИ!$A$84:$H$346,MATCH(1,INDEX((A27=ПОКАЗАТЕЛИ!$A$84:$A$346)*(C27=ПОКАЗАТЕЛИ!$C$84:$C$346)*(D27=ПОКАЗАТЕЛИ!$D$84:$D$346),),0),8),"")</f>
        <v>0</v>
      </c>
    </row>
    <row r="28" spans="1:16" ht="15" customHeight="1" x14ac:dyDescent="0.25">
      <c r="A28" s="183" t="str">
        <v>поддержка 7770622000.244.0</v>
      </c>
      <c r="B28" s="110" t="str">
        <v>1102</v>
      </c>
      <c r="C28" s="110">
        <v>244</v>
      </c>
      <c r="D28" s="110">
        <v>345</v>
      </c>
      <c r="E28" s="111"/>
      <c r="F28" s="189" t="str">
        <f>IFERROR(INDEX(ПОКАЗАТЕЛИ!$A$6:$H$20,MATCH(1,INDEX((A28=ПОКАЗАТЕЛИ!$A$6:$A$20)*(C28=ПОКАЗАТЕЛИ!$C$6:$C$20)*(D28=ПОКАЗАТЕЛИ!$D$6:$D$20),),0),6),"")</f>
        <v/>
      </c>
      <c r="G28" s="170"/>
      <c r="H28" s="190" t="str">
        <f>IFERROR(INDEX(ПОКАЗАТЕЛИ!$A$21:$H$83,MATCH(1,INDEX((A28=ПОКАЗАТЕЛИ!$A$21:$A$83)*(C28=ПОКАЗАТЕЛИ!$C$21:$C$83)*(D28=ПОКАЗАТЕЛИ!$D$21:$D$83),),0),6),"")</f>
        <v/>
      </c>
      <c r="I28" s="191">
        <f>IFERROR(INDEX(ПОКАЗАТЕЛИ!$A$84:$H$346,MATCH(1,INDEX((A28=ПОКАЗАТЕЛИ!$A$84:$A$346)*(C28=ПОКАЗАТЕЛИ!$C$84:$C$346)*(D28=ПОКАЗАТЕЛИ!$D$84:$D$346),),0),6),"")</f>
        <v>0</v>
      </c>
      <c r="J28" s="119" t="str">
        <f>IFERROR(INDEX(ПОКАЗАТЕЛИ!$A$21:$H$83,MATCH(1,INDEX((A28=ПОКАЗАТЕЛИ!$A$21:$A$83)*(C28=ПОКАЗАТЕЛИ!$C$21:$C$83)*(D28=ПОКАЗАТЕЛИ!$D$21:$D$83),),0),7),"")</f>
        <v/>
      </c>
      <c r="K28" s="172">
        <f>IFERROR(INDEX(ПОКАЗАТЕЛИ!$A$84:$H$346,MATCH(1,INDEX((A28=ПОКАЗАТЕЛИ!$A$84:$A$346)*(C28=ПОКАЗАТЕЛИ!$C$84:$C$346)*(D28=ПОКАЗАТЕЛИ!$D$84:$D$346),),0),7),"")</f>
        <v>0</v>
      </c>
      <c r="L28" s="172" t="str">
        <f>IFERROR(INDEX(ПОКАЗАТЕЛИ!$A$21:$H$83,MATCH(1,INDEX((A28=ПОКАЗАТЕЛИ!$A$21:$A$83)*(C28=ПОКАЗАТЕЛИ!$C$21:$C$83)*(D28=ПОКАЗАТЕЛИ!$D$21:$D$83),),0),8),"")</f>
        <v/>
      </c>
      <c r="M28" s="172">
        <f>IFERROR(INDEX(ПОКАЗАТЕЛИ!$A$84:$H$346,MATCH(1,INDEX((A28=ПОКАЗАТЕЛИ!$A$84:$A$346)*(C28=ПОКАЗАТЕЛИ!$C$84:$C$346)*(D28=ПОКАЗАТЕЛИ!$D$84:$D$346),),0),8),"")</f>
        <v>0</v>
      </c>
    </row>
    <row r="29" spans="1:16" ht="15" customHeight="1" x14ac:dyDescent="0.25">
      <c r="A29" s="183" t="str">
        <v>комфорт 777F254240.510.0</v>
      </c>
      <c r="B29" s="110" t="str">
        <v>0505</v>
      </c>
      <c r="C29" s="110">
        <v>510</v>
      </c>
      <c r="D29" s="110">
        <v>510</v>
      </c>
      <c r="E29" s="111"/>
      <c r="F29" s="189">
        <f>IFERROR(INDEX(ПОКАЗАТЕЛИ!$A$6:$H$20,MATCH(1,INDEX((A29=ПОКАЗАТЕЛИ!$A$6:$A$20)*(C29=ПОКАЗАТЕЛИ!$C$6:$C$20)*(D29=ПОКАЗАТЕЛИ!$D$6:$D$20),),0),6),"")</f>
        <v>0</v>
      </c>
      <c r="G29" s="170"/>
      <c r="H29" s="190" t="str">
        <f>IFERROR(INDEX(ПОКАЗАТЕЛИ!$A$21:$H$83,MATCH(1,INDEX((A29=ПОКАЗАТЕЛИ!$A$21:$A$83)*(C29=ПОКАЗАТЕЛИ!$C$21:$C$83)*(D29=ПОКАЗАТЕЛИ!$D$21:$D$83),),0),6),"")</f>
        <v/>
      </c>
      <c r="I29" s="191" t="str">
        <f>IFERROR(INDEX(ПОКАЗАТЕЛИ!$A$84:$H$346,MATCH(1,INDEX((A29=ПОКАЗАТЕЛИ!$A$84:$A$346)*(C29=ПОКАЗАТЕЛИ!$C$84:$C$346)*(D29=ПОКАЗАТЕЛИ!$D$84:$D$346),),0),6),"")</f>
        <v/>
      </c>
      <c r="J29" s="119" t="str">
        <f>IFERROR(INDEX(ПОКАЗАТЕЛИ!$A$21:$H$83,MATCH(1,INDEX((A29=ПОКАЗАТЕЛИ!$A$21:$A$83)*(C29=ПОКАЗАТЕЛИ!$C$21:$C$83)*(D29=ПОКАЗАТЕЛИ!$D$21:$D$83),),0),7),"")</f>
        <v/>
      </c>
      <c r="K29" s="172" t="str">
        <f>IFERROR(INDEX(ПОКАЗАТЕЛИ!$A$84:$H$346,MATCH(1,INDEX((A29=ПОКАЗАТЕЛИ!$A$84:$A$346)*(C29=ПОКАЗАТЕЛИ!$C$84:$C$346)*(D29=ПОКАЗАТЕЛИ!$D$84:$D$346),),0),7),"")</f>
        <v/>
      </c>
      <c r="L29" s="172" t="str">
        <f>IFERROR(INDEX(ПОКАЗАТЕЛИ!$A$21:$H$83,MATCH(1,INDEX((A29=ПОКАЗАТЕЛИ!$A$21:$A$83)*(C29=ПОКАЗАТЕЛИ!$C$21:$C$83)*(D29=ПОКАЗАТЕЛИ!$D$21:$D$83),),0),8),"")</f>
        <v/>
      </c>
      <c r="M29" s="172" t="str">
        <f>IFERROR(INDEX(ПОКАЗАТЕЛИ!$A$84:$H$346,MATCH(1,INDEX((A29=ПОКАЗАТЕЛИ!$A$84:$A$346)*(C29=ПОКАЗАТЕЛИ!$C$84:$C$346)*(D29=ПОКАЗАТЕЛИ!$D$84:$D$346),),0),8),"")</f>
        <v/>
      </c>
    </row>
    <row r="30" spans="1:16" ht="15" customHeight="1" x14ac:dyDescent="0.25">
      <c r="A30" s="183" t="str">
        <v>комфорт 777F254240.244.0</v>
      </c>
      <c r="B30" s="110" t="str">
        <v>0505</v>
      </c>
      <c r="C30" s="110">
        <v>244</v>
      </c>
      <c r="D30" s="110">
        <v>226</v>
      </c>
      <c r="E30" s="111"/>
      <c r="F30" s="189" t="str">
        <f>IFERROR(INDEX(ПОКАЗАТЕЛИ!$A$6:$H$20,MATCH(1,INDEX((A30=ПОКАЗАТЕЛИ!$A$6:$A$20)*(C30=ПОКАЗАТЕЛИ!$C$6:$C$20)*(D30=ПОКАЗАТЕЛИ!$D$6:$D$20),),0),6),"")</f>
        <v/>
      </c>
      <c r="G30" s="170"/>
      <c r="H30" s="190" t="str">
        <f>IFERROR(INDEX(ПОКАЗАТЕЛИ!$A$21:$H$83,MATCH(1,INDEX((A30=ПОКАЗАТЕЛИ!$A$21:$A$83)*(C30=ПОКАЗАТЕЛИ!$C$21:$C$83)*(D30=ПОКАЗАТЕЛИ!$D$21:$D$83),),0),6),"")</f>
        <v/>
      </c>
      <c r="I30" s="191">
        <f>IFERROR(INDEX(ПОКАЗАТЕЛИ!$A$84:$H$346,MATCH(1,INDEX((A30=ПОКАЗАТЕЛИ!$A$84:$A$346)*(C30=ПОКАЗАТЕЛИ!$C$84:$C$346)*(D30=ПОКАЗАТЕЛИ!$D$84:$D$346),),0),6),"")</f>
        <v>0</v>
      </c>
      <c r="J30" s="119" t="str">
        <f>IFERROR(INDEX(ПОКАЗАТЕЛИ!$A$21:$H$83,MATCH(1,INDEX((A30=ПОКАЗАТЕЛИ!$A$21:$A$83)*(C30=ПОКАЗАТЕЛИ!$C$21:$C$83)*(D30=ПОКАЗАТЕЛИ!$D$21:$D$83),),0),7),"")</f>
        <v/>
      </c>
      <c r="K30" s="172">
        <f>IFERROR(INDEX(ПОКАЗАТЕЛИ!$A$84:$H$346,MATCH(1,INDEX((A30=ПОКАЗАТЕЛИ!$A$84:$A$346)*(C30=ПОКАЗАТЕЛИ!$C$84:$C$346)*(D30=ПОКАЗАТЕЛИ!$D$84:$D$346),),0),7),"")</f>
        <v>0</v>
      </c>
      <c r="L30" s="172" t="str">
        <f>IFERROR(INDEX(ПОКАЗАТЕЛИ!$A$21:$H$83,MATCH(1,INDEX((A30=ПОКАЗАТЕЛИ!$A$21:$A$83)*(C30=ПОКАЗАТЕЛИ!$C$21:$C$83)*(D30=ПОКАЗАТЕЛИ!$D$21:$D$83),),0),8),"")</f>
        <v/>
      </c>
      <c r="M30" s="172">
        <f>IFERROR(INDEX(ПОКАЗАТЕЛИ!$A$84:$H$346,MATCH(1,INDEX((A30=ПОКАЗАТЕЛИ!$A$84:$A$346)*(C30=ПОКАЗАТЕЛИ!$C$84:$C$346)*(D30=ПОКАЗАТЕЛИ!$D$84:$D$346),),0),8),"")</f>
        <v>0</v>
      </c>
    </row>
    <row r="31" spans="1:16" ht="15" customHeight="1" x14ac:dyDescent="0.25">
      <c r="A31" s="183" t="str">
        <v/>
      </c>
      <c r="B31" s="110" t="str">
        <v/>
      </c>
      <c r="C31" s="110" t="str">
        <v/>
      </c>
      <c r="D31" s="110" t="str">
        <v/>
      </c>
      <c r="E31" s="111"/>
      <c r="F31" s="189" t="str">
        <f>IFERROR(INDEX(ПОКАЗАТЕЛИ!$A$6:$H$20,MATCH(1,INDEX((A31=ПОКАЗАТЕЛИ!$A$6:$A$20)*(C31=ПОКАЗАТЕЛИ!$C$6:$C$20)*(D31=ПОКАЗАТЕЛИ!$D$6:$D$20),),0),6),"")</f>
        <v/>
      </c>
      <c r="G31" s="170"/>
      <c r="H31" s="190">
        <f>IFERROR(INDEX(ПОКАЗАТЕЛИ!$A$21:$H$83,MATCH(1,INDEX((A31=ПОКАЗАТЕЛИ!$A$21:$A$83)*(C31=ПОКАЗАТЕЛИ!$C$21:$C$83)*(D31=ПОКАЗАТЕЛИ!$D$21:$D$83),),0),6),"")</f>
        <v>0</v>
      </c>
      <c r="I31" s="191" t="str">
        <f>IFERROR(INDEX(ПОКАЗАТЕЛИ!$A$84:$H$346,MATCH(1,INDEX((A31=ПОКАЗАТЕЛИ!$A$84:$A$346)*(C31=ПОКАЗАТЕЛИ!$C$84:$C$346)*(D31=ПОКАЗАТЕЛИ!$D$84:$D$346),),0),6),"")</f>
        <v/>
      </c>
      <c r="J31" s="119">
        <f>IFERROR(INDEX(ПОКАЗАТЕЛИ!$A$21:$H$83,MATCH(1,INDEX((A31=ПОКАЗАТЕЛИ!$A$21:$A$83)*(C31=ПОКАЗАТЕЛИ!$C$21:$C$83)*(D31=ПОКАЗАТЕЛИ!$D$21:$D$83),),0),7),"")</f>
        <v>0</v>
      </c>
      <c r="K31" s="172" t="str">
        <f>IFERROR(INDEX(ПОКАЗАТЕЛИ!$A$84:$H$346,MATCH(1,INDEX((A31=ПОКАЗАТЕЛИ!$A$84:$A$346)*(C31=ПОКАЗАТЕЛИ!$C$84:$C$346)*(D31=ПОКАЗАТЕЛИ!$D$84:$D$346),),0),7),"")</f>
        <v/>
      </c>
      <c r="L31" s="172">
        <f>IFERROR(INDEX(ПОКАЗАТЕЛИ!$A$21:$H$83,MATCH(1,INDEX((A31=ПОКАЗАТЕЛИ!$A$21:$A$83)*(C31=ПОКАЗАТЕЛИ!$C$21:$C$83)*(D31=ПОКАЗАТЕЛИ!$D$21:$D$83),),0),8),"")</f>
        <v>0</v>
      </c>
      <c r="M31" s="172" t="str">
        <f>IFERROR(INDEX(ПОКАЗАТЕЛИ!$A$84:$H$346,MATCH(1,INDEX((A31=ПОКАЗАТЕЛИ!$A$84:$A$346)*(C31=ПОКАЗАТЕЛИ!$C$84:$C$346)*(D31=ПОКАЗАТЕЛИ!$D$84:$D$346),),0),8),"")</f>
        <v/>
      </c>
    </row>
    <row r="32" spans="1:16" ht="15" customHeight="1" x14ac:dyDescent="0.25">
      <c r="A32" s="183" t="str">
        <v/>
      </c>
      <c r="B32" s="110" t="str">
        <v/>
      </c>
      <c r="C32" s="110" t="str">
        <v/>
      </c>
      <c r="D32" s="110" t="str">
        <v/>
      </c>
      <c r="E32" s="111"/>
      <c r="F32" s="189" t="str">
        <f>IFERROR(INDEX(ПОКАЗАТЕЛИ!$A$6:$H$20,MATCH(1,INDEX((A32=ПОКАЗАТЕЛИ!$A$6:$A$20)*(C32=ПОКАЗАТЕЛИ!$C$6:$C$20)*(D32=ПОКАЗАТЕЛИ!$D$6:$D$20),),0),6),"")</f>
        <v/>
      </c>
      <c r="G32" s="170"/>
      <c r="H32" s="190">
        <f>IFERROR(INDEX(ПОКАЗАТЕЛИ!$A$21:$H$83,MATCH(1,INDEX((A32=ПОКАЗАТЕЛИ!$A$21:$A$83)*(C32=ПОКАЗАТЕЛИ!$C$21:$C$83)*(D32=ПОКАЗАТЕЛИ!$D$21:$D$83),),0),6),"")</f>
        <v>0</v>
      </c>
      <c r="I32" s="191" t="str">
        <f>IFERROR(INDEX(ПОКАЗАТЕЛИ!$A$84:$H$346,MATCH(1,INDEX((A32=ПОКАЗАТЕЛИ!$A$84:$A$346)*(C32=ПОКАЗАТЕЛИ!$C$84:$C$346)*(D32=ПОКАЗАТЕЛИ!$D$84:$D$346),),0),6),"")</f>
        <v/>
      </c>
      <c r="J32" s="119">
        <f>IFERROR(INDEX(ПОКАЗАТЕЛИ!$A$21:$H$83,MATCH(1,INDEX((A32=ПОКАЗАТЕЛИ!$A$21:$A$83)*(C32=ПОКАЗАТЕЛИ!$C$21:$C$83)*(D32=ПОКАЗАТЕЛИ!$D$21:$D$83),),0),7),"")</f>
        <v>0</v>
      </c>
      <c r="K32" s="172" t="str">
        <f>IFERROR(INDEX(ПОКАЗАТЕЛИ!$A$84:$H$346,MATCH(1,INDEX((A32=ПОКАЗАТЕЛИ!$A$84:$A$346)*(C32=ПОКАЗАТЕЛИ!$C$84:$C$346)*(D32=ПОКАЗАТЕЛИ!$D$84:$D$346),),0),7),"")</f>
        <v/>
      </c>
      <c r="L32" s="172">
        <f>IFERROR(INDEX(ПОКАЗАТЕЛИ!$A$21:$H$83,MATCH(1,INDEX((A32=ПОКАЗАТЕЛИ!$A$21:$A$83)*(C32=ПОКАЗАТЕЛИ!$C$21:$C$83)*(D32=ПОКАЗАТЕЛИ!$D$21:$D$83),),0),8),"")</f>
        <v>0</v>
      </c>
      <c r="M32" s="172" t="str">
        <f>IFERROR(INDEX(ПОКАЗАТЕЛИ!$A$84:$H$346,MATCH(1,INDEX((A32=ПОКАЗАТЕЛИ!$A$84:$A$346)*(C32=ПОКАЗАТЕЛИ!$C$84:$C$346)*(D32=ПОКАЗАТЕЛИ!$D$84:$D$346),),0),8),"")</f>
        <v/>
      </c>
    </row>
    <row r="33" spans="1:13" ht="15" customHeight="1" x14ac:dyDescent="0.25">
      <c r="A33" s="183" t="str">
        <v/>
      </c>
      <c r="B33" s="110" t="str">
        <v/>
      </c>
      <c r="C33" s="110" t="str">
        <v/>
      </c>
      <c r="D33" s="110" t="str">
        <v/>
      </c>
      <c r="E33" s="111"/>
      <c r="F33" s="189" t="str">
        <f>IFERROR(INDEX(ПОКАЗАТЕЛИ!$A$6:$H$20,MATCH(1,INDEX((A33=ПОКАЗАТЕЛИ!$A$6:$A$20)*(C33=ПОКАЗАТЕЛИ!$C$6:$C$20)*(D33=ПОКАЗАТЕЛИ!$D$6:$D$20),),0),6),"")</f>
        <v/>
      </c>
      <c r="G33" s="170"/>
      <c r="H33" s="190">
        <f>IFERROR(INDEX(ПОКАЗАТЕЛИ!$A$21:$H$83,MATCH(1,INDEX((A33=ПОКАЗАТЕЛИ!$A$21:$A$83)*(C33=ПОКАЗАТЕЛИ!$C$21:$C$83)*(D33=ПОКАЗАТЕЛИ!$D$21:$D$83),),0),6),"")</f>
        <v>0</v>
      </c>
      <c r="I33" s="191" t="str">
        <f>IFERROR(INDEX(ПОКАЗАТЕЛИ!$A$84:$H$346,MATCH(1,INDEX((A33=ПОКАЗАТЕЛИ!$A$84:$A$346)*(C33=ПОКАЗАТЕЛИ!$C$84:$C$346)*(D33=ПОКАЗАТЕЛИ!$D$84:$D$346),),0),6),"")</f>
        <v/>
      </c>
      <c r="J33" s="119">
        <f>IFERROR(INDEX(ПОКАЗАТЕЛИ!$A$21:$H$83,MATCH(1,INDEX((A33=ПОКАЗАТЕЛИ!$A$21:$A$83)*(C33=ПОКАЗАТЕЛИ!$C$21:$C$83)*(D33=ПОКАЗАТЕЛИ!$D$21:$D$83),),0),7),"")</f>
        <v>0</v>
      </c>
      <c r="K33" s="172" t="str">
        <f>IFERROR(INDEX(ПОКАЗАТЕЛИ!$A$84:$H$346,MATCH(1,INDEX((A33=ПОКАЗАТЕЛИ!$A$84:$A$346)*(C33=ПОКАЗАТЕЛИ!$C$84:$C$346)*(D33=ПОКАЗАТЕЛИ!$D$84:$D$346),),0),7),"")</f>
        <v/>
      </c>
      <c r="L33" s="172">
        <f>IFERROR(INDEX(ПОКАЗАТЕЛИ!$A$21:$H$83,MATCH(1,INDEX((A33=ПОКАЗАТЕЛИ!$A$21:$A$83)*(C33=ПОКАЗАТЕЛИ!$C$21:$C$83)*(D33=ПОКАЗАТЕЛИ!$D$21:$D$83),),0),8),"")</f>
        <v>0</v>
      </c>
      <c r="M33" s="172" t="str">
        <f>IFERROR(INDEX(ПОКАЗАТЕЛИ!$A$84:$H$346,MATCH(1,INDEX((A33=ПОКАЗАТЕЛИ!$A$84:$A$346)*(C33=ПОКАЗАТЕЛИ!$C$84:$C$346)*(D33=ПОКАЗАТЕЛИ!$D$84:$D$346),),0),8),"")</f>
        <v/>
      </c>
    </row>
    <row r="34" spans="1:13" ht="15" customHeight="1" x14ac:dyDescent="0.25">
      <c r="A34" s="183" t="str">
        <v/>
      </c>
      <c r="B34" s="110" t="str">
        <v/>
      </c>
      <c r="C34" s="110" t="str">
        <v/>
      </c>
      <c r="D34" s="110" t="str">
        <v/>
      </c>
      <c r="E34" s="111"/>
      <c r="F34" s="189" t="str">
        <f>IFERROR(INDEX(ПОКАЗАТЕЛИ!$A$6:$H$20,MATCH(1,INDEX((A34=ПОКАЗАТЕЛИ!$A$6:$A$20)*(C34=ПОКАЗАТЕЛИ!$C$6:$C$20)*(D34=ПОКАЗАТЕЛИ!$D$6:$D$20),),0),6),"")</f>
        <v/>
      </c>
      <c r="G34" s="170"/>
      <c r="H34" s="190">
        <f>IFERROR(INDEX(ПОКАЗАТЕЛИ!$A$21:$H$83,MATCH(1,INDEX((A34=ПОКАЗАТЕЛИ!$A$21:$A$83)*(C34=ПОКАЗАТЕЛИ!$C$21:$C$83)*(D34=ПОКАЗАТЕЛИ!$D$21:$D$83),),0),6),"")</f>
        <v>0</v>
      </c>
      <c r="I34" s="191" t="str">
        <f>IFERROR(INDEX(ПОКАЗАТЕЛИ!$A$84:$H$346,MATCH(1,INDEX((A34=ПОКАЗАТЕЛИ!$A$84:$A$346)*(C34=ПОКАЗАТЕЛИ!$C$84:$C$346)*(D34=ПОКАЗАТЕЛИ!$D$84:$D$346),),0),6),"")</f>
        <v/>
      </c>
      <c r="J34" s="119">
        <f>IFERROR(INDEX(ПОКАЗАТЕЛИ!$A$21:$H$83,MATCH(1,INDEX((A34=ПОКАЗАТЕЛИ!$A$21:$A$83)*(C34=ПОКАЗАТЕЛИ!$C$21:$C$83)*(D34=ПОКАЗАТЕЛИ!$D$21:$D$83),),0),7),"")</f>
        <v>0</v>
      </c>
      <c r="K34" s="172" t="str">
        <f>IFERROR(INDEX(ПОКАЗАТЕЛИ!$A$84:$H$346,MATCH(1,INDEX((A34=ПОКАЗАТЕЛИ!$A$84:$A$346)*(C34=ПОКАЗАТЕЛИ!$C$84:$C$346)*(D34=ПОКАЗАТЕЛИ!$D$84:$D$346),),0),7),"")</f>
        <v/>
      </c>
      <c r="L34" s="172">
        <f>IFERROR(INDEX(ПОКАЗАТЕЛИ!$A$21:$H$83,MATCH(1,INDEX((A34=ПОКАЗАТЕЛИ!$A$21:$A$83)*(C34=ПОКАЗАТЕЛИ!$C$21:$C$83)*(D34=ПОКАЗАТЕЛИ!$D$21:$D$83),),0),8),"")</f>
        <v>0</v>
      </c>
      <c r="M34" s="172" t="str">
        <f>IFERROR(INDEX(ПОКАЗАТЕЛИ!$A$84:$H$346,MATCH(1,INDEX((A34=ПОКАЗАТЕЛИ!$A$84:$A$346)*(C34=ПОКАЗАТЕЛИ!$C$84:$C$346)*(D34=ПОКАЗАТЕЛИ!$D$84:$D$346),),0),8),"")</f>
        <v/>
      </c>
    </row>
    <row r="35" spans="1:13" ht="15" customHeight="1" x14ac:dyDescent="0.25">
      <c r="A35" s="183" t="str">
        <v/>
      </c>
      <c r="B35" s="110" t="str">
        <v/>
      </c>
      <c r="C35" s="110" t="str">
        <v/>
      </c>
      <c r="D35" s="110" t="str">
        <v/>
      </c>
      <c r="E35" s="111"/>
      <c r="F35" s="189" t="str">
        <f>IFERROR(INDEX(ПОКАЗАТЕЛИ!$A$6:$H$20,MATCH(1,INDEX((A35=ПОКАЗАТЕЛИ!$A$6:$A$20)*(C35=ПОКАЗАТЕЛИ!$C$6:$C$20)*(D35=ПОКАЗАТЕЛИ!$D$6:$D$20),),0),6),"")</f>
        <v/>
      </c>
      <c r="G35" s="170"/>
      <c r="H35" s="190">
        <f>IFERROR(INDEX(ПОКАЗАТЕЛИ!$A$21:$H$83,MATCH(1,INDEX((A35=ПОКАЗАТЕЛИ!$A$21:$A$83)*(C35=ПОКАЗАТЕЛИ!$C$21:$C$83)*(D35=ПОКАЗАТЕЛИ!$D$21:$D$83),),0),6),"")</f>
        <v>0</v>
      </c>
      <c r="I35" s="191" t="str">
        <f>IFERROR(INDEX(ПОКАЗАТЕЛИ!$A$84:$H$346,MATCH(1,INDEX((A35=ПОКАЗАТЕЛИ!$A$84:$A$346)*(C35=ПОКАЗАТЕЛИ!$C$84:$C$346)*(D35=ПОКАЗАТЕЛИ!$D$84:$D$346),),0),6),"")</f>
        <v/>
      </c>
      <c r="J35" s="119">
        <f>IFERROR(INDEX(ПОКАЗАТЕЛИ!$A$21:$H$83,MATCH(1,INDEX((A35=ПОКАЗАТЕЛИ!$A$21:$A$83)*(C35=ПОКАЗАТЕЛИ!$C$21:$C$83)*(D35=ПОКАЗАТЕЛИ!$D$21:$D$83),),0),7),"")</f>
        <v>0</v>
      </c>
      <c r="K35" s="172" t="str">
        <f>IFERROR(INDEX(ПОКАЗАТЕЛИ!$A$84:$H$346,MATCH(1,INDEX((A35=ПОКАЗАТЕЛИ!$A$84:$A$346)*(C35=ПОКАЗАТЕЛИ!$C$84:$C$346)*(D35=ПОКАЗАТЕЛИ!$D$84:$D$346),),0),7),"")</f>
        <v/>
      </c>
      <c r="L35" s="172">
        <f>IFERROR(INDEX(ПОКАЗАТЕЛИ!$A$21:$H$83,MATCH(1,INDEX((A35=ПОКАЗАТЕЛИ!$A$21:$A$83)*(C35=ПОКАЗАТЕЛИ!$C$21:$C$83)*(D35=ПОКАЗАТЕЛИ!$D$21:$D$83),),0),8),"")</f>
        <v>0</v>
      </c>
      <c r="M35" s="172" t="str">
        <f>IFERROR(INDEX(ПОКАЗАТЕЛИ!$A$84:$H$346,MATCH(1,INDEX((A35=ПОКАЗАТЕЛИ!$A$84:$A$346)*(C35=ПОКАЗАТЕЛИ!$C$84:$C$346)*(D35=ПОКАЗАТЕЛИ!$D$84:$D$346),),0),8),"")</f>
        <v/>
      </c>
    </row>
    <row r="36" spans="1:13" ht="15" customHeight="1" x14ac:dyDescent="0.25">
      <c r="A36" s="183" t="str">
        <v/>
      </c>
      <c r="B36" s="110" t="str">
        <v/>
      </c>
      <c r="C36" s="110" t="str">
        <v/>
      </c>
      <c r="D36" s="110" t="str">
        <v/>
      </c>
      <c r="E36" s="111"/>
      <c r="F36" s="189" t="str">
        <f>IFERROR(INDEX(ПОКАЗАТЕЛИ!$A$6:$H$20,MATCH(1,INDEX((A36=ПОКАЗАТЕЛИ!$A$6:$A$20)*(C36=ПОКАЗАТЕЛИ!$C$6:$C$20)*(D36=ПОКАЗАТЕЛИ!$D$6:$D$20),),0),6),"")</f>
        <v/>
      </c>
      <c r="G36" s="170"/>
      <c r="H36" s="190">
        <f>IFERROR(INDEX(ПОКАЗАТЕЛИ!$A$21:$H$83,MATCH(1,INDEX((A36=ПОКАЗАТЕЛИ!$A$21:$A$83)*(C36=ПОКАЗАТЕЛИ!$C$21:$C$83)*(D36=ПОКАЗАТЕЛИ!$D$21:$D$83),),0),6),"")</f>
        <v>0</v>
      </c>
      <c r="I36" s="191" t="str">
        <f>IFERROR(INDEX(ПОКАЗАТЕЛИ!$A$84:$H$346,MATCH(1,INDEX((A36=ПОКАЗАТЕЛИ!$A$84:$A$346)*(C36=ПОКАЗАТЕЛИ!$C$84:$C$346)*(D36=ПОКАЗАТЕЛИ!$D$84:$D$346),),0),6),"")</f>
        <v/>
      </c>
      <c r="J36" s="119">
        <f>IFERROR(INDEX(ПОКАЗАТЕЛИ!$A$21:$H$83,MATCH(1,INDEX((A36=ПОКАЗАТЕЛИ!$A$21:$A$83)*(C36=ПОКАЗАТЕЛИ!$C$21:$C$83)*(D36=ПОКАЗАТЕЛИ!$D$21:$D$83),),0),7),"")</f>
        <v>0</v>
      </c>
      <c r="K36" s="172" t="str">
        <f>IFERROR(INDEX(ПОКАЗАТЕЛИ!$A$84:$H$346,MATCH(1,INDEX((A36=ПОКАЗАТЕЛИ!$A$84:$A$346)*(C36=ПОКАЗАТЕЛИ!$C$84:$C$346)*(D36=ПОКАЗАТЕЛИ!$D$84:$D$346),),0),7),"")</f>
        <v/>
      </c>
      <c r="L36" s="172">
        <f>IFERROR(INDEX(ПОКАЗАТЕЛИ!$A$21:$H$83,MATCH(1,INDEX((A36=ПОКАЗАТЕЛИ!$A$21:$A$83)*(C36=ПОКАЗАТЕЛИ!$C$21:$C$83)*(D36=ПОКАЗАТЕЛИ!$D$21:$D$83),),0),8),"")</f>
        <v>0</v>
      </c>
      <c r="M36" s="172" t="str">
        <f>IFERROR(INDEX(ПОКАЗАТЕЛИ!$A$84:$H$346,MATCH(1,INDEX((A36=ПОКАЗАТЕЛИ!$A$84:$A$346)*(C36=ПОКАЗАТЕЛИ!$C$84:$C$346)*(D36=ПОКАЗАТЕЛИ!$D$84:$D$346),),0),8),"")</f>
        <v/>
      </c>
    </row>
    <row r="37" spans="1:13" ht="15" customHeight="1" x14ac:dyDescent="0.25">
      <c r="A37" s="183" t="str">
        <v/>
      </c>
      <c r="B37" s="110" t="str">
        <v/>
      </c>
      <c r="C37" s="110" t="str">
        <v/>
      </c>
      <c r="D37" s="110" t="str">
        <v/>
      </c>
      <c r="E37" s="111"/>
      <c r="F37" s="189" t="str">
        <f>IFERROR(INDEX(ПОКАЗАТЕЛИ!$A$6:$H$20,MATCH(1,INDEX((A37=ПОКАЗАТЕЛИ!$A$6:$A$20)*(C37=ПОКАЗАТЕЛИ!$C$6:$C$20)*(D37=ПОКАЗАТЕЛИ!$D$6:$D$20),),0),6),"")</f>
        <v/>
      </c>
      <c r="G37" s="170"/>
      <c r="H37" s="190">
        <f>IFERROR(INDEX(ПОКАЗАТЕЛИ!$A$21:$H$83,MATCH(1,INDEX((A37=ПОКАЗАТЕЛИ!$A$21:$A$83)*(C37=ПОКАЗАТЕЛИ!$C$21:$C$83)*(D37=ПОКАЗАТЕЛИ!$D$21:$D$83),),0),6),"")</f>
        <v>0</v>
      </c>
      <c r="I37" s="191" t="str">
        <f>IFERROR(INDEX(ПОКАЗАТЕЛИ!$A$84:$H$346,MATCH(1,INDEX((A37=ПОКАЗАТЕЛИ!$A$84:$A$346)*(C37=ПОКАЗАТЕЛИ!$C$84:$C$346)*(D37=ПОКАЗАТЕЛИ!$D$84:$D$346),),0),6),"")</f>
        <v/>
      </c>
      <c r="J37" s="119">
        <f>IFERROR(INDEX(ПОКАЗАТЕЛИ!$A$21:$H$83,MATCH(1,INDEX((A37=ПОКАЗАТЕЛИ!$A$21:$A$83)*(C37=ПОКАЗАТЕЛИ!$C$21:$C$83)*(D37=ПОКАЗАТЕЛИ!$D$21:$D$83),),0),7),"")</f>
        <v>0</v>
      </c>
      <c r="K37" s="172" t="str">
        <f>IFERROR(INDEX(ПОКАЗАТЕЛИ!$A$84:$H$346,MATCH(1,INDEX((A37=ПОКАЗАТЕЛИ!$A$84:$A$346)*(C37=ПОКАЗАТЕЛИ!$C$84:$C$346)*(D37=ПОКАЗАТЕЛИ!$D$84:$D$346),),0),7),"")</f>
        <v/>
      </c>
      <c r="L37" s="172">
        <f>IFERROR(INDEX(ПОКАЗАТЕЛИ!$A$21:$H$83,MATCH(1,INDEX((A37=ПОКАЗАТЕЛИ!$A$21:$A$83)*(C37=ПОКАЗАТЕЛИ!$C$21:$C$83)*(D37=ПОКАЗАТЕЛИ!$D$21:$D$83),),0),8),"")</f>
        <v>0</v>
      </c>
      <c r="M37" s="172" t="str">
        <f>IFERROR(INDEX(ПОКАЗАТЕЛИ!$A$84:$H$346,MATCH(1,INDEX((A37=ПОКАЗАТЕЛИ!$A$84:$A$346)*(C37=ПОКАЗАТЕЛИ!$C$84:$C$346)*(D37=ПОКАЗАТЕЛИ!$D$84:$D$346),),0),8),"")</f>
        <v/>
      </c>
    </row>
    <row r="38" spans="1:13" ht="15" customHeight="1" x14ac:dyDescent="0.25">
      <c r="A38" s="183" t="str">
        <v/>
      </c>
      <c r="B38" s="110" t="str">
        <v/>
      </c>
      <c r="C38" s="110" t="str">
        <v/>
      </c>
      <c r="D38" s="110" t="str">
        <v/>
      </c>
      <c r="E38" s="111"/>
      <c r="F38" s="189" t="str">
        <f>IFERROR(INDEX(ПОКАЗАТЕЛИ!$A$6:$H$20,MATCH(1,INDEX((A38=ПОКАЗАТЕЛИ!$A$6:$A$20)*(C38=ПОКАЗАТЕЛИ!$C$6:$C$20)*(D38=ПОКАЗАТЕЛИ!$D$6:$D$20),),0),6),"")</f>
        <v/>
      </c>
      <c r="G38" s="170"/>
      <c r="H38" s="190">
        <f>IFERROR(INDEX(ПОКАЗАТЕЛИ!$A$21:$H$83,MATCH(1,INDEX((A38=ПОКАЗАТЕЛИ!$A$21:$A$83)*(C38=ПОКАЗАТЕЛИ!$C$21:$C$83)*(D38=ПОКАЗАТЕЛИ!$D$21:$D$83),),0),6),"")</f>
        <v>0</v>
      </c>
      <c r="I38" s="191" t="str">
        <f>IFERROR(INDEX(ПОКАЗАТЕЛИ!$A$84:$H$346,MATCH(1,INDEX((A38=ПОКАЗАТЕЛИ!$A$84:$A$346)*(C38=ПОКАЗАТЕЛИ!$C$84:$C$346)*(D38=ПОКАЗАТЕЛИ!$D$84:$D$346),),0),6),"")</f>
        <v/>
      </c>
      <c r="J38" s="119">
        <f>IFERROR(INDEX(ПОКАЗАТЕЛИ!$A$21:$H$83,MATCH(1,INDEX((A38=ПОКАЗАТЕЛИ!$A$21:$A$83)*(C38=ПОКАЗАТЕЛИ!$C$21:$C$83)*(D38=ПОКАЗАТЕЛИ!$D$21:$D$83),),0),7),"")</f>
        <v>0</v>
      </c>
      <c r="K38" s="172" t="str">
        <f>IFERROR(INDEX(ПОКАЗАТЕЛИ!$A$84:$H$346,MATCH(1,INDEX((A38=ПОКАЗАТЕЛИ!$A$84:$A$346)*(C38=ПОКАЗАТЕЛИ!$C$84:$C$346)*(D38=ПОКАЗАТЕЛИ!$D$84:$D$346),),0),7),"")</f>
        <v/>
      </c>
      <c r="L38" s="172">
        <f>IFERROR(INDEX(ПОКАЗАТЕЛИ!$A$21:$H$83,MATCH(1,INDEX((A38=ПОКАЗАТЕЛИ!$A$21:$A$83)*(C38=ПОКАЗАТЕЛИ!$C$21:$C$83)*(D38=ПОКАЗАТЕЛИ!$D$21:$D$83),),0),8),"")</f>
        <v>0</v>
      </c>
      <c r="M38" s="172" t="str">
        <f>IFERROR(INDEX(ПОКАЗАТЕЛИ!$A$84:$H$346,MATCH(1,INDEX((A38=ПОКАЗАТЕЛИ!$A$84:$A$346)*(C38=ПОКАЗАТЕЛИ!$C$84:$C$346)*(D38=ПОКАЗАТЕЛИ!$D$84:$D$346),),0),8),"")</f>
        <v/>
      </c>
    </row>
    <row r="39" spans="1:13" ht="15" customHeight="1" x14ac:dyDescent="0.25">
      <c r="A39" s="183" t="str">
        <v/>
      </c>
      <c r="B39" s="110" t="str">
        <v/>
      </c>
      <c r="C39" s="110" t="str">
        <v/>
      </c>
      <c r="D39" s="110" t="str">
        <v/>
      </c>
      <c r="E39" s="111"/>
      <c r="F39" s="189" t="str">
        <f>IFERROR(INDEX(ПОКАЗАТЕЛИ!$A$6:$H$20,MATCH(1,INDEX((A39=ПОКАЗАТЕЛИ!$A$6:$A$20)*(C39=ПОКАЗАТЕЛИ!$C$6:$C$20)*(D39=ПОКАЗАТЕЛИ!$D$6:$D$20),),0),6),"")</f>
        <v/>
      </c>
      <c r="G39" s="170"/>
      <c r="H39" s="190">
        <f>IFERROR(INDEX(ПОКАЗАТЕЛИ!$A$21:$H$83,MATCH(1,INDEX((A39=ПОКАЗАТЕЛИ!$A$21:$A$83)*(C39=ПОКАЗАТЕЛИ!$C$21:$C$83)*(D39=ПОКАЗАТЕЛИ!$D$21:$D$83),),0),6),"")</f>
        <v>0</v>
      </c>
      <c r="I39" s="191" t="str">
        <f>IFERROR(INDEX(ПОКАЗАТЕЛИ!$A$84:$H$346,MATCH(1,INDEX((A39=ПОКАЗАТЕЛИ!$A$84:$A$346)*(C39=ПОКАЗАТЕЛИ!$C$84:$C$346)*(D39=ПОКАЗАТЕЛИ!$D$84:$D$346),),0),6),"")</f>
        <v/>
      </c>
      <c r="J39" s="119">
        <f>IFERROR(INDEX(ПОКАЗАТЕЛИ!$A$21:$H$83,MATCH(1,INDEX((A39=ПОКАЗАТЕЛИ!$A$21:$A$83)*(C39=ПОКАЗАТЕЛИ!$C$21:$C$83)*(D39=ПОКАЗАТЕЛИ!$D$21:$D$83),),0),7),"")</f>
        <v>0</v>
      </c>
      <c r="K39" s="172" t="str">
        <f>IFERROR(INDEX(ПОКАЗАТЕЛИ!$A$84:$H$346,MATCH(1,INDEX((A39=ПОКАЗАТЕЛИ!$A$84:$A$346)*(C39=ПОКАЗАТЕЛИ!$C$84:$C$346)*(D39=ПОКАЗАТЕЛИ!$D$84:$D$346),),0),7),"")</f>
        <v/>
      </c>
      <c r="L39" s="172">
        <f>IFERROR(INDEX(ПОКАЗАТЕЛИ!$A$21:$H$83,MATCH(1,INDEX((A39=ПОКАЗАТЕЛИ!$A$21:$A$83)*(C39=ПОКАЗАТЕЛИ!$C$21:$C$83)*(D39=ПОКАЗАТЕЛИ!$D$21:$D$83),),0),8),"")</f>
        <v>0</v>
      </c>
      <c r="M39" s="172" t="str">
        <f>IFERROR(INDEX(ПОКАЗАТЕЛИ!$A$84:$H$346,MATCH(1,INDEX((A39=ПОКАЗАТЕЛИ!$A$84:$A$346)*(C39=ПОКАЗАТЕЛИ!$C$84:$C$346)*(D39=ПОКАЗАТЕЛИ!$D$84:$D$346),),0),8),"")</f>
        <v/>
      </c>
    </row>
    <row r="40" spans="1:13" ht="15" customHeight="1" x14ac:dyDescent="0.25">
      <c r="A40" s="183" t="str">
        <v/>
      </c>
      <c r="B40" s="110" t="str">
        <v/>
      </c>
      <c r="C40" s="110" t="str">
        <v/>
      </c>
      <c r="D40" s="110" t="str">
        <v/>
      </c>
      <c r="E40" s="111"/>
      <c r="F40" s="189" t="str">
        <f>IFERROR(INDEX(ПОКАЗАТЕЛИ!$A$6:$H$20,MATCH(1,INDEX((A40=ПОКАЗАТЕЛИ!$A$6:$A$20)*(C40=ПОКАЗАТЕЛИ!$C$6:$C$20)*(D40=ПОКАЗАТЕЛИ!$D$6:$D$20),),0),6),"")</f>
        <v/>
      </c>
      <c r="G40" s="170"/>
      <c r="H40" s="190">
        <f>IFERROR(INDEX(ПОКАЗАТЕЛИ!$A$21:$H$83,MATCH(1,INDEX((A40=ПОКАЗАТЕЛИ!$A$21:$A$83)*(C40=ПОКАЗАТЕЛИ!$C$21:$C$83)*(D40=ПОКАЗАТЕЛИ!$D$21:$D$83),),0),6),"")</f>
        <v>0</v>
      </c>
      <c r="I40" s="191" t="str">
        <f>IFERROR(INDEX(ПОКАЗАТЕЛИ!$A$84:$H$346,MATCH(1,INDEX((A40=ПОКАЗАТЕЛИ!$A$84:$A$346)*(C40=ПОКАЗАТЕЛИ!$C$84:$C$346)*(D40=ПОКАЗАТЕЛИ!$D$84:$D$346),),0),6),"")</f>
        <v/>
      </c>
      <c r="J40" s="119">
        <f>IFERROR(INDEX(ПОКАЗАТЕЛИ!$A$21:$H$83,MATCH(1,INDEX((A40=ПОКАЗАТЕЛИ!$A$21:$A$83)*(C40=ПОКАЗАТЕЛИ!$C$21:$C$83)*(D40=ПОКАЗАТЕЛИ!$D$21:$D$83),),0),7),"")</f>
        <v>0</v>
      </c>
      <c r="K40" s="172" t="str">
        <f>IFERROR(INDEX(ПОКАЗАТЕЛИ!$A$84:$H$346,MATCH(1,INDEX((A40=ПОКАЗАТЕЛИ!$A$84:$A$346)*(C40=ПОКАЗАТЕЛИ!$C$84:$C$346)*(D40=ПОКАЗАТЕЛИ!$D$84:$D$346),),0),7),"")</f>
        <v/>
      </c>
      <c r="L40" s="172">
        <f>IFERROR(INDEX(ПОКАЗАТЕЛИ!$A$21:$H$83,MATCH(1,INDEX((A40=ПОКАЗАТЕЛИ!$A$21:$A$83)*(C40=ПОКАЗАТЕЛИ!$C$21:$C$83)*(D40=ПОКАЗАТЕЛИ!$D$21:$D$83),),0),8),"")</f>
        <v>0</v>
      </c>
      <c r="M40" s="172" t="str">
        <f>IFERROR(INDEX(ПОКАЗАТЕЛИ!$A$84:$H$346,MATCH(1,INDEX((A40=ПОКАЗАТЕЛИ!$A$84:$A$346)*(C40=ПОКАЗАТЕЛИ!$C$84:$C$346)*(D40=ПОКАЗАТЕЛИ!$D$84:$D$346),),0),8),"")</f>
        <v/>
      </c>
    </row>
    <row r="41" spans="1:13" ht="15" customHeight="1" x14ac:dyDescent="0.25">
      <c r="A41" s="183" t="str">
        <v/>
      </c>
      <c r="B41" s="110" t="str">
        <v/>
      </c>
      <c r="C41" s="110" t="str">
        <v/>
      </c>
      <c r="D41" s="110" t="str">
        <v/>
      </c>
      <c r="E41" s="111"/>
      <c r="F41" s="189" t="str">
        <f>IFERROR(INDEX(ПОКАЗАТЕЛИ!$A$6:$H$20,MATCH(1,INDEX((A41=ПОКАЗАТЕЛИ!$A$6:$A$20)*(C41=ПОКАЗАТЕЛИ!$C$6:$C$20)*(D41=ПОКАЗАТЕЛИ!$D$6:$D$20),),0),6),"")</f>
        <v/>
      </c>
      <c r="G41" s="170"/>
      <c r="H41" s="190">
        <f>IFERROR(INDEX(ПОКАЗАТЕЛИ!$A$21:$H$83,MATCH(1,INDEX((A41=ПОКАЗАТЕЛИ!$A$21:$A$83)*(C41=ПОКАЗАТЕЛИ!$C$21:$C$83)*(D41=ПОКАЗАТЕЛИ!$D$21:$D$83),),0),6),"")</f>
        <v>0</v>
      </c>
      <c r="I41" s="191" t="str">
        <f>IFERROR(INDEX(ПОКАЗАТЕЛИ!$A$84:$H$346,MATCH(1,INDEX((A41=ПОКАЗАТЕЛИ!$A$84:$A$346)*(C41=ПОКАЗАТЕЛИ!$C$84:$C$346)*(D41=ПОКАЗАТЕЛИ!$D$84:$D$346),),0),6),"")</f>
        <v/>
      </c>
      <c r="J41" s="119">
        <f>IFERROR(INDEX(ПОКАЗАТЕЛИ!$A$21:$H$83,MATCH(1,INDEX((A41=ПОКАЗАТЕЛИ!$A$21:$A$83)*(C41=ПОКАЗАТЕЛИ!$C$21:$C$83)*(D41=ПОКАЗАТЕЛИ!$D$21:$D$83),),0),7),"")</f>
        <v>0</v>
      </c>
      <c r="K41" s="172" t="str">
        <f>IFERROR(INDEX(ПОКАЗАТЕЛИ!$A$84:$H$346,MATCH(1,INDEX((A41=ПОКАЗАТЕЛИ!$A$84:$A$346)*(C41=ПОКАЗАТЕЛИ!$C$84:$C$346)*(D41=ПОКАЗАТЕЛИ!$D$84:$D$346),),0),7),"")</f>
        <v/>
      </c>
      <c r="L41" s="172">
        <f>IFERROR(INDEX(ПОКАЗАТЕЛИ!$A$21:$H$83,MATCH(1,INDEX((A41=ПОКАЗАТЕЛИ!$A$21:$A$83)*(C41=ПОКАЗАТЕЛИ!$C$21:$C$83)*(D41=ПОКАЗАТЕЛИ!$D$21:$D$83),),0),8),"")</f>
        <v>0</v>
      </c>
      <c r="M41" s="172" t="str">
        <f>IFERROR(INDEX(ПОКАЗАТЕЛИ!$A$84:$H$346,MATCH(1,INDEX((A41=ПОКАЗАТЕЛИ!$A$84:$A$346)*(C41=ПОКАЗАТЕЛИ!$C$84:$C$346)*(D41=ПОКАЗАТЕЛИ!$D$84:$D$346),),0),8),"")</f>
        <v/>
      </c>
    </row>
    <row r="42" spans="1:13" ht="15" customHeight="1" x14ac:dyDescent="0.25">
      <c r="A42" s="183" t="str">
        <v/>
      </c>
      <c r="B42" s="110" t="str">
        <v/>
      </c>
      <c r="C42" s="110" t="str">
        <v/>
      </c>
      <c r="D42" s="110" t="str">
        <v/>
      </c>
      <c r="E42" s="111"/>
      <c r="F42" s="189" t="str">
        <f>IFERROR(INDEX(ПОКАЗАТЕЛИ!$A$6:$H$20,MATCH(1,INDEX((A42=ПОКАЗАТЕЛИ!$A$6:$A$20)*(C42=ПОКАЗАТЕЛИ!$C$6:$C$20)*(D42=ПОКАЗАТЕЛИ!$D$6:$D$20),),0),6),"")</f>
        <v/>
      </c>
      <c r="G42" s="170"/>
      <c r="H42" s="190">
        <f>IFERROR(INDEX(ПОКАЗАТЕЛИ!$A$21:$H$83,MATCH(1,INDEX((A42=ПОКАЗАТЕЛИ!$A$21:$A$83)*(C42=ПОКАЗАТЕЛИ!$C$21:$C$83)*(D42=ПОКАЗАТЕЛИ!$D$21:$D$83),),0),6),"")</f>
        <v>0</v>
      </c>
      <c r="I42" s="191" t="str">
        <f>IFERROR(INDEX(ПОКАЗАТЕЛИ!$A$84:$H$346,MATCH(1,INDEX((A42=ПОКАЗАТЕЛИ!$A$84:$A$346)*(C42=ПОКАЗАТЕЛИ!$C$84:$C$346)*(D42=ПОКАЗАТЕЛИ!$D$84:$D$346),),0),6),"")</f>
        <v/>
      </c>
      <c r="J42" s="119">
        <f>IFERROR(INDEX(ПОКАЗАТЕЛИ!$A$21:$H$83,MATCH(1,INDEX((A42=ПОКАЗАТЕЛИ!$A$21:$A$83)*(C42=ПОКАЗАТЕЛИ!$C$21:$C$83)*(D42=ПОКАЗАТЕЛИ!$D$21:$D$83),),0),7),"")</f>
        <v>0</v>
      </c>
      <c r="K42" s="172" t="str">
        <f>IFERROR(INDEX(ПОКАЗАТЕЛИ!$A$84:$H$346,MATCH(1,INDEX((A42=ПОКАЗАТЕЛИ!$A$84:$A$346)*(C42=ПОКАЗАТЕЛИ!$C$84:$C$346)*(D42=ПОКАЗАТЕЛИ!$D$84:$D$346),),0),7),"")</f>
        <v/>
      </c>
      <c r="L42" s="172">
        <f>IFERROR(INDEX(ПОКАЗАТЕЛИ!$A$21:$H$83,MATCH(1,INDEX((A42=ПОКАЗАТЕЛИ!$A$21:$A$83)*(C42=ПОКАЗАТЕЛИ!$C$21:$C$83)*(D42=ПОКАЗАТЕЛИ!$D$21:$D$83),),0),8),"")</f>
        <v>0</v>
      </c>
      <c r="M42" s="172" t="str">
        <f>IFERROR(INDEX(ПОКАЗАТЕЛИ!$A$84:$H$346,MATCH(1,INDEX((A42=ПОКАЗАТЕЛИ!$A$84:$A$346)*(C42=ПОКАЗАТЕЛИ!$C$84:$C$346)*(D42=ПОКАЗАТЕЛИ!$D$84:$D$346),),0),8),"")</f>
        <v/>
      </c>
    </row>
    <row r="43" spans="1:13" ht="15" customHeight="1" x14ac:dyDescent="0.25">
      <c r="A43" s="183" t="str">
        <v/>
      </c>
      <c r="B43" s="110" t="str">
        <v/>
      </c>
      <c r="C43" s="110" t="str">
        <v/>
      </c>
      <c r="D43" s="110" t="str">
        <v/>
      </c>
      <c r="E43" s="111"/>
      <c r="F43" s="189" t="str">
        <f>IFERROR(INDEX(ПОКАЗАТЕЛИ!$A$6:$H$20,MATCH(1,INDEX((A43=ПОКАЗАТЕЛИ!$A$6:$A$20)*(C43=ПОКАЗАТЕЛИ!$C$6:$C$20)*(D43=ПОКАЗАТЕЛИ!$D$6:$D$20),),0),6),"")</f>
        <v/>
      </c>
      <c r="G43" s="170"/>
      <c r="H43" s="190">
        <f>IFERROR(INDEX(ПОКАЗАТЕЛИ!$A$21:$H$83,MATCH(1,INDEX((A43=ПОКАЗАТЕЛИ!$A$21:$A$83)*(C43=ПОКАЗАТЕЛИ!$C$21:$C$83)*(D43=ПОКАЗАТЕЛИ!$D$21:$D$83),),0),6),"")</f>
        <v>0</v>
      </c>
      <c r="I43" s="191" t="str">
        <f>IFERROR(INDEX(ПОКАЗАТЕЛИ!$A$84:$H$346,MATCH(1,INDEX((A43=ПОКАЗАТЕЛИ!$A$84:$A$346)*(C43=ПОКАЗАТЕЛИ!$C$84:$C$346)*(D43=ПОКАЗАТЕЛИ!$D$84:$D$346),),0),6),"")</f>
        <v/>
      </c>
      <c r="J43" s="119">
        <f>IFERROR(INDEX(ПОКАЗАТЕЛИ!$A$21:$H$83,MATCH(1,INDEX((A43=ПОКАЗАТЕЛИ!$A$21:$A$83)*(C43=ПОКАЗАТЕЛИ!$C$21:$C$83)*(D43=ПОКАЗАТЕЛИ!$D$21:$D$83),),0),7),"")</f>
        <v>0</v>
      </c>
      <c r="K43" s="172" t="str">
        <f>IFERROR(INDEX(ПОКАЗАТЕЛИ!$A$84:$H$346,MATCH(1,INDEX((A43=ПОКАЗАТЕЛИ!$A$84:$A$346)*(C43=ПОКАЗАТЕЛИ!$C$84:$C$346)*(D43=ПОКАЗАТЕЛИ!$D$84:$D$346),),0),7),"")</f>
        <v/>
      </c>
      <c r="L43" s="172">
        <f>IFERROR(INDEX(ПОКАЗАТЕЛИ!$A$21:$H$83,MATCH(1,INDEX((A43=ПОКАЗАТЕЛИ!$A$21:$A$83)*(C43=ПОКАЗАТЕЛИ!$C$21:$C$83)*(D43=ПОКАЗАТЕЛИ!$D$21:$D$83),),0),8),"")</f>
        <v>0</v>
      </c>
      <c r="M43" s="172" t="str">
        <f>IFERROR(INDEX(ПОКАЗАТЕЛИ!$A$84:$H$346,MATCH(1,INDEX((A43=ПОКАЗАТЕЛИ!$A$84:$A$346)*(C43=ПОКАЗАТЕЛИ!$C$84:$C$346)*(D43=ПОКАЗАТЕЛИ!$D$84:$D$346),),0),8),"")</f>
        <v/>
      </c>
    </row>
    <row r="44" spans="1:13" ht="15" customHeight="1" x14ac:dyDescent="0.25">
      <c r="A44" s="183" t="str">
        <v/>
      </c>
      <c r="B44" s="110" t="str">
        <v/>
      </c>
      <c r="C44" s="110" t="str">
        <v/>
      </c>
      <c r="D44" s="110" t="str">
        <v/>
      </c>
      <c r="E44" s="111"/>
      <c r="F44" s="189" t="str">
        <f>IFERROR(INDEX(ПОКАЗАТЕЛИ!$A$6:$H$20,MATCH(1,INDEX((A44=ПОКАЗАТЕЛИ!$A$6:$A$20)*(C44=ПОКАЗАТЕЛИ!$C$6:$C$20)*(D44=ПОКАЗАТЕЛИ!$D$6:$D$20),),0),6),"")</f>
        <v/>
      </c>
      <c r="G44" s="170"/>
      <c r="H44" s="190">
        <f>IFERROR(INDEX(ПОКАЗАТЕЛИ!$A$21:$H$83,MATCH(1,INDEX((A44=ПОКАЗАТЕЛИ!$A$21:$A$83)*(C44=ПОКАЗАТЕЛИ!$C$21:$C$83)*(D44=ПОКАЗАТЕЛИ!$D$21:$D$83),),0),6),"")</f>
        <v>0</v>
      </c>
      <c r="I44" s="191" t="str">
        <f>IFERROR(INDEX(ПОКАЗАТЕЛИ!$A$84:$H$346,MATCH(1,INDEX((A44=ПОКАЗАТЕЛИ!$A$84:$A$346)*(C44=ПОКАЗАТЕЛИ!$C$84:$C$346)*(D44=ПОКАЗАТЕЛИ!$D$84:$D$346),),0),6),"")</f>
        <v/>
      </c>
      <c r="J44" s="119">
        <f>IFERROR(INDEX(ПОКАЗАТЕЛИ!$A$21:$H$83,MATCH(1,INDEX((A44=ПОКАЗАТЕЛИ!$A$21:$A$83)*(C44=ПОКАЗАТЕЛИ!$C$21:$C$83)*(D44=ПОКАЗАТЕЛИ!$D$21:$D$83),),0),7),"")</f>
        <v>0</v>
      </c>
      <c r="K44" s="172" t="str">
        <f>IFERROR(INDEX(ПОКАЗАТЕЛИ!$A$84:$H$346,MATCH(1,INDEX((A44=ПОКАЗАТЕЛИ!$A$84:$A$346)*(C44=ПОКАЗАТЕЛИ!$C$84:$C$346)*(D44=ПОКАЗАТЕЛИ!$D$84:$D$346),),0),7),"")</f>
        <v/>
      </c>
      <c r="L44" s="172">
        <f>IFERROR(INDEX(ПОКАЗАТЕЛИ!$A$21:$H$83,MATCH(1,INDEX((A44=ПОКАЗАТЕЛИ!$A$21:$A$83)*(C44=ПОКАЗАТЕЛИ!$C$21:$C$83)*(D44=ПОКАЗАТЕЛИ!$D$21:$D$83),),0),8),"")</f>
        <v>0</v>
      </c>
      <c r="M44" s="172" t="str">
        <f>IFERROR(INDEX(ПОКАЗАТЕЛИ!$A$84:$H$346,MATCH(1,INDEX((A44=ПОКАЗАТЕЛИ!$A$84:$A$346)*(C44=ПОКАЗАТЕЛИ!$C$84:$C$346)*(D44=ПОКАЗАТЕЛИ!$D$84:$D$346),),0),8),"")</f>
        <v/>
      </c>
    </row>
    <row r="45" spans="1:13" ht="15" customHeight="1" x14ac:dyDescent="0.25">
      <c r="A45" s="183" t="str">
        <v/>
      </c>
      <c r="B45" s="110" t="str">
        <v/>
      </c>
      <c r="C45" s="110" t="str">
        <v/>
      </c>
      <c r="D45" s="110" t="str">
        <v/>
      </c>
      <c r="E45" s="111"/>
      <c r="F45" s="189" t="str">
        <f>IFERROR(INDEX(ПОКАЗАТЕЛИ!$A$6:$H$20,MATCH(1,INDEX((A45=ПОКАЗАТЕЛИ!$A$6:$A$20)*(C45=ПОКАЗАТЕЛИ!$C$6:$C$20)*(D45=ПОКАЗАТЕЛИ!$D$6:$D$20),),0),6),"")</f>
        <v/>
      </c>
      <c r="G45" s="170"/>
      <c r="H45" s="190">
        <f>IFERROR(INDEX(ПОКАЗАТЕЛИ!$A$21:$H$83,MATCH(1,INDEX((A45=ПОКАЗАТЕЛИ!$A$21:$A$83)*(C45=ПОКАЗАТЕЛИ!$C$21:$C$83)*(D45=ПОКАЗАТЕЛИ!$D$21:$D$83),),0),6),"")</f>
        <v>0</v>
      </c>
      <c r="I45" s="191" t="str">
        <f>IFERROR(INDEX(ПОКАЗАТЕЛИ!$A$84:$H$346,MATCH(1,INDEX((A45=ПОКАЗАТЕЛИ!$A$84:$A$346)*(C45=ПОКАЗАТЕЛИ!$C$84:$C$346)*(D45=ПОКАЗАТЕЛИ!$D$84:$D$346),),0),6),"")</f>
        <v/>
      </c>
      <c r="J45" s="119">
        <f>IFERROR(INDEX(ПОКАЗАТЕЛИ!$A$21:$H$83,MATCH(1,INDEX((A45=ПОКАЗАТЕЛИ!$A$21:$A$83)*(C45=ПОКАЗАТЕЛИ!$C$21:$C$83)*(D45=ПОКАЗАТЕЛИ!$D$21:$D$83),),0),7),"")</f>
        <v>0</v>
      </c>
      <c r="K45" s="172" t="str">
        <f>IFERROR(INDEX(ПОКАЗАТЕЛИ!$A$84:$H$346,MATCH(1,INDEX((A45=ПОКАЗАТЕЛИ!$A$84:$A$346)*(C45=ПОКАЗАТЕЛИ!$C$84:$C$346)*(D45=ПОКАЗАТЕЛИ!$D$84:$D$346),),0),7),"")</f>
        <v/>
      </c>
      <c r="L45" s="172">
        <f>IFERROR(INDEX(ПОКАЗАТЕЛИ!$A$21:$H$83,MATCH(1,INDEX((A45=ПОКАЗАТЕЛИ!$A$21:$A$83)*(C45=ПОКАЗАТЕЛИ!$C$21:$C$83)*(D45=ПОКАЗАТЕЛИ!$D$21:$D$83),),0),8),"")</f>
        <v>0</v>
      </c>
      <c r="M45" s="172" t="str">
        <f>IFERROR(INDEX(ПОКАЗАТЕЛИ!$A$84:$H$346,MATCH(1,INDEX((A45=ПОКАЗАТЕЛИ!$A$84:$A$346)*(C45=ПОКАЗАТЕЛИ!$C$84:$C$346)*(D45=ПОКАЗАТЕЛИ!$D$84:$D$346),),0),8),"")</f>
        <v/>
      </c>
    </row>
    <row r="46" spans="1:13" ht="15" customHeight="1" x14ac:dyDescent="0.25">
      <c r="A46" s="183" t="str">
        <v/>
      </c>
      <c r="B46" s="110" t="str">
        <v/>
      </c>
      <c r="C46" s="110" t="str">
        <v/>
      </c>
      <c r="D46" s="110" t="str">
        <v/>
      </c>
      <c r="E46" s="111"/>
      <c r="F46" s="189" t="str">
        <f>IFERROR(INDEX(ПОКАЗАТЕЛИ!$A$6:$H$20,MATCH(1,INDEX((A46=ПОКАЗАТЕЛИ!$A$6:$A$20)*(C46=ПОКАЗАТЕЛИ!$C$6:$C$20)*(D46=ПОКАЗАТЕЛИ!$D$6:$D$20),),0),6),"")</f>
        <v/>
      </c>
      <c r="G46" s="170"/>
      <c r="H46" s="190">
        <f>IFERROR(INDEX(ПОКАЗАТЕЛИ!$A$21:$H$83,MATCH(1,INDEX((A46=ПОКАЗАТЕЛИ!$A$21:$A$83)*(C46=ПОКАЗАТЕЛИ!$C$21:$C$83)*(D46=ПОКАЗАТЕЛИ!$D$21:$D$83),),0),6),"")</f>
        <v>0</v>
      </c>
      <c r="I46" s="191" t="str">
        <f>IFERROR(INDEX(ПОКАЗАТЕЛИ!$A$84:$H$346,MATCH(1,INDEX((A46=ПОКАЗАТЕЛИ!$A$84:$A$346)*(C46=ПОКАЗАТЕЛИ!$C$84:$C$346)*(D46=ПОКАЗАТЕЛИ!$D$84:$D$346),),0),6),"")</f>
        <v/>
      </c>
      <c r="J46" s="119">
        <f>IFERROR(INDEX(ПОКАЗАТЕЛИ!$A$21:$H$83,MATCH(1,INDEX((A46=ПОКАЗАТЕЛИ!$A$21:$A$83)*(C46=ПОКАЗАТЕЛИ!$C$21:$C$83)*(D46=ПОКАЗАТЕЛИ!$D$21:$D$83),),0),7),"")</f>
        <v>0</v>
      </c>
      <c r="K46" s="172" t="str">
        <f>IFERROR(INDEX(ПОКАЗАТЕЛИ!$A$84:$H$346,MATCH(1,INDEX((A46=ПОКАЗАТЕЛИ!$A$84:$A$346)*(C46=ПОКАЗАТЕЛИ!$C$84:$C$346)*(D46=ПОКАЗАТЕЛИ!$D$84:$D$346),),0),7),"")</f>
        <v/>
      </c>
      <c r="L46" s="172">
        <f>IFERROR(INDEX(ПОКАЗАТЕЛИ!$A$21:$H$83,MATCH(1,INDEX((A46=ПОКАЗАТЕЛИ!$A$21:$A$83)*(C46=ПОКАЗАТЕЛИ!$C$21:$C$83)*(D46=ПОКАЗАТЕЛИ!$D$21:$D$83),),0),8),"")</f>
        <v>0</v>
      </c>
      <c r="M46" s="172" t="str">
        <f>IFERROR(INDEX(ПОКАЗАТЕЛИ!$A$84:$H$346,MATCH(1,INDEX((A46=ПОКАЗАТЕЛИ!$A$84:$A$346)*(C46=ПОКАЗАТЕЛИ!$C$84:$C$346)*(D46=ПОКАЗАТЕЛИ!$D$84:$D$346),),0),8),"")</f>
        <v/>
      </c>
    </row>
    <row r="47" spans="1:13" ht="15" customHeight="1" x14ac:dyDescent="0.25">
      <c r="A47" s="183" t="str">
        <v/>
      </c>
      <c r="B47" s="110" t="str">
        <v/>
      </c>
      <c r="C47" s="110" t="str">
        <v/>
      </c>
      <c r="D47" s="110" t="str">
        <v/>
      </c>
      <c r="E47" s="111"/>
      <c r="F47" s="189" t="str">
        <f>IFERROR(INDEX(ПОКАЗАТЕЛИ!$A$6:$H$20,MATCH(1,INDEX((A47=ПОКАЗАТЕЛИ!$A$6:$A$20)*(C47=ПОКАЗАТЕЛИ!$C$6:$C$20)*(D47=ПОКАЗАТЕЛИ!$D$6:$D$20),),0),6),"")</f>
        <v/>
      </c>
      <c r="G47" s="170"/>
      <c r="H47" s="190">
        <f>IFERROR(INDEX(ПОКАЗАТЕЛИ!$A$21:$H$83,MATCH(1,INDEX((A47=ПОКАЗАТЕЛИ!$A$21:$A$83)*(C47=ПОКАЗАТЕЛИ!$C$21:$C$83)*(D47=ПОКАЗАТЕЛИ!$D$21:$D$83),),0),6),"")</f>
        <v>0</v>
      </c>
      <c r="I47" s="191" t="str">
        <f>IFERROR(INDEX(ПОКАЗАТЕЛИ!$A$84:$H$346,MATCH(1,INDEX((A47=ПОКАЗАТЕЛИ!$A$84:$A$346)*(C47=ПОКАЗАТЕЛИ!$C$84:$C$346)*(D47=ПОКАЗАТЕЛИ!$D$84:$D$346),),0),6),"")</f>
        <v/>
      </c>
      <c r="J47" s="119">
        <f>IFERROR(INDEX(ПОКАЗАТЕЛИ!$A$21:$H$83,MATCH(1,INDEX((A47=ПОКАЗАТЕЛИ!$A$21:$A$83)*(C47=ПОКАЗАТЕЛИ!$C$21:$C$83)*(D47=ПОКАЗАТЕЛИ!$D$21:$D$83),),0),7),"")</f>
        <v>0</v>
      </c>
      <c r="K47" s="172" t="str">
        <f>IFERROR(INDEX(ПОКАЗАТЕЛИ!$A$84:$H$346,MATCH(1,INDEX((A47=ПОКАЗАТЕЛИ!$A$84:$A$346)*(C47=ПОКАЗАТЕЛИ!$C$84:$C$346)*(D47=ПОКАЗАТЕЛИ!$D$84:$D$346),),0),7),"")</f>
        <v/>
      </c>
      <c r="L47" s="172">
        <f>IFERROR(INDEX(ПОКАЗАТЕЛИ!$A$21:$H$83,MATCH(1,INDEX((A47=ПОКАЗАТЕЛИ!$A$21:$A$83)*(C47=ПОКАЗАТЕЛИ!$C$21:$C$83)*(D47=ПОКАЗАТЕЛИ!$D$21:$D$83),),0),8),"")</f>
        <v>0</v>
      </c>
      <c r="M47" s="172" t="str">
        <f>IFERROR(INDEX(ПОКАЗАТЕЛИ!$A$84:$H$346,MATCH(1,INDEX((A47=ПОКАЗАТЕЛИ!$A$84:$A$346)*(C47=ПОКАЗАТЕЛИ!$C$84:$C$346)*(D47=ПОКАЗАТЕЛИ!$D$84:$D$346),),0),8),"")</f>
        <v/>
      </c>
    </row>
    <row r="48" spans="1:13" ht="15" customHeight="1" x14ac:dyDescent="0.25">
      <c r="A48" s="183" t="str">
        <v/>
      </c>
      <c r="B48" s="110" t="str">
        <v/>
      </c>
      <c r="C48" s="110" t="str">
        <v/>
      </c>
      <c r="D48" s="110" t="str">
        <v/>
      </c>
      <c r="E48" s="111"/>
      <c r="F48" s="189" t="str">
        <f>IFERROR(INDEX(ПОКАЗАТЕЛИ!$A$6:$H$20,MATCH(1,INDEX((A48=ПОКАЗАТЕЛИ!$A$6:$A$20)*(C48=ПОКАЗАТЕЛИ!$C$6:$C$20)*(D48=ПОКАЗАТЕЛИ!$D$6:$D$20),),0),6),"")</f>
        <v/>
      </c>
      <c r="G48" s="170"/>
      <c r="H48" s="190">
        <f>IFERROR(INDEX(ПОКАЗАТЕЛИ!$A$21:$H$83,MATCH(1,INDEX((A48=ПОКАЗАТЕЛИ!$A$21:$A$83)*(C48=ПОКАЗАТЕЛИ!$C$21:$C$83)*(D48=ПОКАЗАТЕЛИ!$D$21:$D$83),),0),6),"")</f>
        <v>0</v>
      </c>
      <c r="I48" s="191" t="str">
        <f>IFERROR(INDEX(ПОКАЗАТЕЛИ!$A$84:$H$346,MATCH(1,INDEX((A48=ПОКАЗАТЕЛИ!$A$84:$A$346)*(C48=ПОКАЗАТЕЛИ!$C$84:$C$346)*(D48=ПОКАЗАТЕЛИ!$D$84:$D$346),),0),6),"")</f>
        <v/>
      </c>
      <c r="J48" s="119">
        <f>IFERROR(INDEX(ПОКАЗАТЕЛИ!$A$21:$H$83,MATCH(1,INDEX((A48=ПОКАЗАТЕЛИ!$A$21:$A$83)*(C48=ПОКАЗАТЕЛИ!$C$21:$C$83)*(D48=ПОКАЗАТЕЛИ!$D$21:$D$83),),0),7),"")</f>
        <v>0</v>
      </c>
      <c r="K48" s="172" t="str">
        <f>IFERROR(INDEX(ПОКАЗАТЕЛИ!$A$84:$H$346,MATCH(1,INDEX((A48=ПОКАЗАТЕЛИ!$A$84:$A$346)*(C48=ПОКАЗАТЕЛИ!$C$84:$C$346)*(D48=ПОКАЗАТЕЛИ!$D$84:$D$346),),0),7),"")</f>
        <v/>
      </c>
      <c r="L48" s="172">
        <f>IFERROR(INDEX(ПОКАЗАТЕЛИ!$A$21:$H$83,MATCH(1,INDEX((A48=ПОКАЗАТЕЛИ!$A$21:$A$83)*(C48=ПОКАЗАТЕЛИ!$C$21:$C$83)*(D48=ПОКАЗАТЕЛИ!$D$21:$D$83),),0),8),"")</f>
        <v>0</v>
      </c>
      <c r="M48" s="172" t="str">
        <f>IFERROR(INDEX(ПОКАЗАТЕЛИ!$A$84:$H$346,MATCH(1,INDEX((A48=ПОКАЗАТЕЛИ!$A$84:$A$346)*(C48=ПОКАЗАТЕЛИ!$C$84:$C$346)*(D48=ПОКАЗАТЕЛИ!$D$84:$D$346),),0),8),"")</f>
        <v/>
      </c>
    </row>
    <row r="49" spans="1:13" ht="15" customHeight="1" x14ac:dyDescent="0.25">
      <c r="A49" s="183" t="str">
        <v/>
      </c>
      <c r="B49" s="110" t="str">
        <v/>
      </c>
      <c r="C49" s="110" t="str">
        <v/>
      </c>
      <c r="D49" s="110" t="str">
        <v/>
      </c>
      <c r="E49" s="111"/>
      <c r="F49" s="189" t="str">
        <f>IFERROR(INDEX(ПОКАЗАТЕЛИ!$A$6:$H$20,MATCH(1,INDEX((A49=ПОКАЗАТЕЛИ!$A$6:$A$20)*(C49=ПОКАЗАТЕЛИ!$C$6:$C$20)*(D49=ПОКАЗАТЕЛИ!$D$6:$D$20),),0),6),"")</f>
        <v/>
      </c>
      <c r="G49" s="170"/>
      <c r="H49" s="190">
        <f>IFERROR(INDEX(ПОКАЗАТЕЛИ!$A$21:$H$83,MATCH(1,INDEX((A49=ПОКАЗАТЕЛИ!$A$21:$A$83)*(C49=ПОКАЗАТЕЛИ!$C$21:$C$83)*(D49=ПОКАЗАТЕЛИ!$D$21:$D$83),),0),6),"")</f>
        <v>0</v>
      </c>
      <c r="I49" s="191" t="str">
        <f>IFERROR(INDEX(ПОКАЗАТЕЛИ!$A$84:$H$346,MATCH(1,INDEX((A49=ПОКАЗАТЕЛИ!$A$84:$A$346)*(C49=ПОКАЗАТЕЛИ!$C$84:$C$346)*(D49=ПОКАЗАТЕЛИ!$D$84:$D$346),),0),6),"")</f>
        <v/>
      </c>
      <c r="J49" s="119">
        <f>IFERROR(INDEX(ПОКАЗАТЕЛИ!$A$21:$H$83,MATCH(1,INDEX((A49=ПОКАЗАТЕЛИ!$A$21:$A$83)*(C49=ПОКАЗАТЕЛИ!$C$21:$C$83)*(D49=ПОКАЗАТЕЛИ!$D$21:$D$83),),0),7),"")</f>
        <v>0</v>
      </c>
      <c r="K49" s="172" t="str">
        <f>IFERROR(INDEX(ПОКАЗАТЕЛИ!$A$84:$H$346,MATCH(1,INDEX((A49=ПОКАЗАТЕЛИ!$A$84:$A$346)*(C49=ПОКАЗАТЕЛИ!$C$84:$C$346)*(D49=ПОКАЗАТЕЛИ!$D$84:$D$346),),0),7),"")</f>
        <v/>
      </c>
      <c r="L49" s="172">
        <f>IFERROR(INDEX(ПОКАЗАТЕЛИ!$A$21:$H$83,MATCH(1,INDEX((A49=ПОКАЗАТЕЛИ!$A$21:$A$83)*(C49=ПОКАЗАТЕЛИ!$C$21:$C$83)*(D49=ПОКАЗАТЕЛИ!$D$21:$D$83),),0),8),"")</f>
        <v>0</v>
      </c>
      <c r="M49" s="172" t="str">
        <f>IFERROR(INDEX(ПОКАЗАТЕЛИ!$A$84:$H$346,MATCH(1,INDEX((A49=ПОКАЗАТЕЛИ!$A$84:$A$346)*(C49=ПОКАЗАТЕЛИ!$C$84:$C$346)*(D49=ПОКАЗАТЕЛИ!$D$84:$D$346),),0),8),"")</f>
        <v/>
      </c>
    </row>
    <row r="50" spans="1:13" ht="15" customHeight="1" x14ac:dyDescent="0.25">
      <c r="A50" s="183" t="str">
        <v/>
      </c>
      <c r="B50" s="110" t="str">
        <v/>
      </c>
      <c r="C50" s="110" t="str">
        <v/>
      </c>
      <c r="D50" s="110" t="str">
        <v/>
      </c>
      <c r="E50" s="111"/>
      <c r="F50" s="189" t="str">
        <f>IFERROR(INDEX(ПОКАЗАТЕЛИ!$A$6:$H$20,MATCH(1,INDEX((A50=ПОКАЗАТЕЛИ!$A$6:$A$20)*(C50=ПОКАЗАТЕЛИ!$C$6:$C$20)*(D50=ПОКАЗАТЕЛИ!$D$6:$D$20),),0),6),"")</f>
        <v/>
      </c>
      <c r="G50" s="170"/>
      <c r="H50" s="190">
        <f>IFERROR(INDEX(ПОКАЗАТЕЛИ!$A$21:$H$83,MATCH(1,INDEX((A50=ПОКАЗАТЕЛИ!$A$21:$A$83)*(C50=ПОКАЗАТЕЛИ!$C$21:$C$83)*(D50=ПОКАЗАТЕЛИ!$D$21:$D$83),),0),6),"")</f>
        <v>0</v>
      </c>
      <c r="I50" s="191" t="str">
        <f>IFERROR(INDEX(ПОКАЗАТЕЛИ!$A$84:$H$346,MATCH(1,INDEX((A50=ПОКАЗАТЕЛИ!$A$84:$A$346)*(C50=ПОКАЗАТЕЛИ!$C$84:$C$346)*(D50=ПОКАЗАТЕЛИ!$D$84:$D$346),),0),6),"")</f>
        <v/>
      </c>
      <c r="J50" s="119">
        <f>IFERROR(INDEX(ПОКАЗАТЕЛИ!$A$21:$H$83,MATCH(1,INDEX((A50=ПОКАЗАТЕЛИ!$A$21:$A$83)*(C50=ПОКАЗАТЕЛИ!$C$21:$C$83)*(D50=ПОКАЗАТЕЛИ!$D$21:$D$83),),0),7),"")</f>
        <v>0</v>
      </c>
      <c r="K50" s="172" t="str">
        <f>IFERROR(INDEX(ПОКАЗАТЕЛИ!$A$84:$H$346,MATCH(1,INDEX((A50=ПОКАЗАТЕЛИ!$A$84:$A$346)*(C50=ПОКАЗАТЕЛИ!$C$84:$C$346)*(D50=ПОКАЗАТЕЛИ!$D$84:$D$346),),0),7),"")</f>
        <v/>
      </c>
      <c r="L50" s="172">
        <f>IFERROR(INDEX(ПОКАЗАТЕЛИ!$A$21:$H$83,MATCH(1,INDEX((A50=ПОКАЗАТЕЛИ!$A$21:$A$83)*(C50=ПОКАЗАТЕЛИ!$C$21:$C$83)*(D50=ПОКАЗАТЕЛИ!$D$21:$D$83),),0),8),"")</f>
        <v>0</v>
      </c>
      <c r="M50" s="172" t="str">
        <f>IFERROR(INDEX(ПОКАЗАТЕЛИ!$A$84:$H$346,MATCH(1,INDEX((A50=ПОКАЗАТЕЛИ!$A$84:$A$346)*(C50=ПОКАЗАТЕЛИ!$C$84:$C$346)*(D50=ПОКАЗАТЕЛИ!$D$84:$D$346),),0),8),"")</f>
        <v/>
      </c>
    </row>
    <row r="51" spans="1:13" ht="15" customHeight="1" x14ac:dyDescent="0.25">
      <c r="A51" s="183" t="str">
        <v/>
      </c>
      <c r="B51" s="110" t="str">
        <v/>
      </c>
      <c r="C51" s="110" t="str">
        <v/>
      </c>
      <c r="D51" s="110" t="str">
        <v/>
      </c>
      <c r="E51" s="111"/>
      <c r="F51" s="189" t="str">
        <f>IFERROR(INDEX(ПОКАЗАТЕЛИ!$A$6:$H$20,MATCH(1,INDEX((A51=ПОКАЗАТЕЛИ!$A$6:$A$20)*(C51=ПОКАЗАТЕЛИ!$C$6:$C$20)*(D51=ПОКАЗАТЕЛИ!$D$6:$D$20),),0),6),"")</f>
        <v/>
      </c>
      <c r="G51" s="170"/>
      <c r="H51" s="190">
        <f>IFERROR(INDEX(ПОКАЗАТЕЛИ!$A$21:$H$83,MATCH(1,INDEX((A51=ПОКАЗАТЕЛИ!$A$21:$A$83)*(C51=ПОКАЗАТЕЛИ!$C$21:$C$83)*(D51=ПОКАЗАТЕЛИ!$D$21:$D$83),),0),6),"")</f>
        <v>0</v>
      </c>
      <c r="I51" s="191" t="str">
        <f>IFERROR(INDEX(ПОКАЗАТЕЛИ!$A$84:$H$346,MATCH(1,INDEX((A51=ПОКАЗАТЕЛИ!$A$84:$A$346)*(C51=ПОКАЗАТЕЛИ!$C$84:$C$346)*(D51=ПОКАЗАТЕЛИ!$D$84:$D$346),),0),6),"")</f>
        <v/>
      </c>
      <c r="J51" s="119">
        <f>IFERROR(INDEX(ПОКАЗАТЕЛИ!$A$21:$H$83,MATCH(1,INDEX((A51=ПОКАЗАТЕЛИ!$A$21:$A$83)*(C51=ПОКАЗАТЕЛИ!$C$21:$C$83)*(D51=ПОКАЗАТЕЛИ!$D$21:$D$83),),0),7),"")</f>
        <v>0</v>
      </c>
      <c r="K51" s="172" t="str">
        <f>IFERROR(INDEX(ПОКАЗАТЕЛИ!$A$84:$H$346,MATCH(1,INDEX((A51=ПОКАЗАТЕЛИ!$A$84:$A$346)*(C51=ПОКАЗАТЕЛИ!$C$84:$C$346)*(D51=ПОКАЗАТЕЛИ!$D$84:$D$346),),0),7),"")</f>
        <v/>
      </c>
      <c r="L51" s="172">
        <f>IFERROR(INDEX(ПОКАЗАТЕЛИ!$A$21:$H$83,MATCH(1,INDEX((A51=ПОКАЗАТЕЛИ!$A$21:$A$83)*(C51=ПОКАЗАТЕЛИ!$C$21:$C$83)*(D51=ПОКАЗАТЕЛИ!$D$21:$D$83),),0),8),"")</f>
        <v>0</v>
      </c>
      <c r="M51" s="172" t="str">
        <f>IFERROR(INDEX(ПОКАЗАТЕЛИ!$A$84:$H$346,MATCH(1,INDEX((A51=ПОКАЗАТЕЛИ!$A$84:$A$346)*(C51=ПОКАЗАТЕЛИ!$C$84:$C$346)*(D51=ПОКАЗАТЕЛИ!$D$84:$D$346),),0),8),"")</f>
        <v/>
      </c>
    </row>
    <row r="52" spans="1:13" ht="15" customHeight="1" x14ac:dyDescent="0.25">
      <c r="A52" s="183" t="str">
        <v/>
      </c>
      <c r="B52" s="110" t="str">
        <v/>
      </c>
      <c r="C52" s="110" t="str">
        <v/>
      </c>
      <c r="D52" s="110" t="str">
        <v/>
      </c>
      <c r="E52" s="111"/>
      <c r="F52" s="189" t="str">
        <f>IFERROR(INDEX(ПОКАЗАТЕЛИ!$A$6:$H$20,MATCH(1,INDEX((A52=ПОКАЗАТЕЛИ!$A$6:$A$20)*(C52=ПОКАЗАТЕЛИ!$C$6:$C$20)*(D52=ПОКАЗАТЕЛИ!$D$6:$D$20),),0),6),"")</f>
        <v/>
      </c>
      <c r="G52" s="170"/>
      <c r="H52" s="190">
        <f>IFERROR(INDEX(ПОКАЗАТЕЛИ!$A$21:$H$83,MATCH(1,INDEX((A52=ПОКАЗАТЕЛИ!$A$21:$A$83)*(C52=ПОКАЗАТЕЛИ!$C$21:$C$83)*(D52=ПОКАЗАТЕЛИ!$D$21:$D$83),),0),6),"")</f>
        <v>0</v>
      </c>
      <c r="I52" s="191" t="str">
        <f>IFERROR(INDEX(ПОКАЗАТЕЛИ!$A$84:$H$346,MATCH(1,INDEX((A52=ПОКАЗАТЕЛИ!$A$84:$A$346)*(C52=ПОКАЗАТЕЛИ!$C$84:$C$346)*(D52=ПОКАЗАТЕЛИ!$D$84:$D$346),),0),6),"")</f>
        <v/>
      </c>
      <c r="J52" s="119">
        <f>IFERROR(INDEX(ПОКАЗАТЕЛИ!$A$21:$H$83,MATCH(1,INDEX((A52=ПОКАЗАТЕЛИ!$A$21:$A$83)*(C52=ПОКАЗАТЕЛИ!$C$21:$C$83)*(D52=ПОКАЗАТЕЛИ!$D$21:$D$83),),0),7),"")</f>
        <v>0</v>
      </c>
      <c r="K52" s="172" t="str">
        <f>IFERROR(INDEX(ПОКАЗАТЕЛИ!$A$84:$H$346,MATCH(1,INDEX((A52=ПОКАЗАТЕЛИ!$A$84:$A$346)*(C52=ПОКАЗАТЕЛИ!$C$84:$C$346)*(D52=ПОКАЗАТЕЛИ!$D$84:$D$346),),0),7),"")</f>
        <v/>
      </c>
      <c r="L52" s="172">
        <f>IFERROR(INDEX(ПОКАЗАТЕЛИ!$A$21:$H$83,MATCH(1,INDEX((A52=ПОКАЗАТЕЛИ!$A$21:$A$83)*(C52=ПОКАЗАТЕЛИ!$C$21:$C$83)*(D52=ПОКАЗАТЕЛИ!$D$21:$D$83),),0),8),"")</f>
        <v>0</v>
      </c>
      <c r="M52" s="172" t="str">
        <f>IFERROR(INDEX(ПОКАЗАТЕЛИ!$A$84:$H$346,MATCH(1,INDEX((A52=ПОКАЗАТЕЛИ!$A$84:$A$346)*(C52=ПОКАЗАТЕЛИ!$C$84:$C$346)*(D52=ПОКАЗАТЕЛИ!$D$84:$D$346),),0),8),"")</f>
        <v/>
      </c>
    </row>
    <row r="53" spans="1:13" ht="15" customHeight="1" x14ac:dyDescent="0.25">
      <c r="A53" s="229" t="str">
        <v/>
      </c>
      <c r="B53" s="230" t="str">
        <v/>
      </c>
      <c r="C53" s="230" t="str">
        <v/>
      </c>
      <c r="D53" s="230" t="str">
        <v/>
      </c>
      <c r="E53" s="111"/>
      <c r="F53" s="189" t="str">
        <f>IFERROR(INDEX(ПОКАЗАТЕЛИ!$A$6:$H$20,MATCH(1,INDEX((A53=ПОКАЗАТЕЛИ!$A$6:$A$20)*(C53=ПОКАЗАТЕЛИ!$C$6:$C$20)*(D53=ПОКАЗАТЕЛИ!$D$6:$D$20),),0),6),"")</f>
        <v/>
      </c>
      <c r="G53" s="170"/>
      <c r="H53" s="190">
        <f>IFERROR(INDEX(ПОКАЗАТЕЛИ!$A$21:$H$83,MATCH(1,INDEX((A53=ПОКАЗАТЕЛИ!$A$21:$A$83)*(C53=ПОКАЗАТЕЛИ!$C$21:$C$83)*(D53=ПОКАЗАТЕЛИ!$D$21:$D$83),),0),6),"")</f>
        <v>0</v>
      </c>
      <c r="I53" s="191" t="str">
        <f>IFERROR(INDEX(ПОКАЗАТЕЛИ!$A$84:$H$346,MATCH(1,INDEX((A53=ПОКАЗАТЕЛИ!$A$84:$A$346)*(C53=ПОКАЗАТЕЛИ!$C$84:$C$346)*(D53=ПОКАЗАТЕЛИ!$D$84:$D$346),),0),6),"")</f>
        <v/>
      </c>
      <c r="J53" s="119">
        <f>IFERROR(INDEX(ПОКАЗАТЕЛИ!$A$21:$H$83,MATCH(1,INDEX((A53=ПОКАЗАТЕЛИ!$A$21:$A$83)*(C53=ПОКАЗАТЕЛИ!$C$21:$C$83)*(D53=ПОКАЗАТЕЛИ!$D$21:$D$83),),0),7),"")</f>
        <v>0</v>
      </c>
      <c r="K53" s="172" t="str">
        <f>IFERROR(INDEX(ПОКАЗАТЕЛИ!$A$84:$H$346,MATCH(1,INDEX((A53=ПОКАЗАТЕЛИ!$A$84:$A$346)*(C53=ПОКАЗАТЕЛИ!$C$84:$C$346)*(D53=ПОКАЗАТЕЛИ!$D$84:$D$346),),0),7),"")</f>
        <v/>
      </c>
      <c r="L53" s="172">
        <f>IFERROR(INDEX(ПОКАЗАТЕЛИ!$A$21:$H$83,MATCH(1,INDEX((A53=ПОКАЗАТЕЛИ!$A$21:$A$83)*(C53=ПОКАЗАТЕЛИ!$C$21:$C$83)*(D53=ПОКАЗАТЕЛИ!$D$21:$D$83),),0),8),"")</f>
        <v>0</v>
      </c>
      <c r="M53" s="172" t="str">
        <f>IFERROR(INDEX(ПОКАЗАТЕЛИ!$A$84:$H$346,MATCH(1,INDEX((A53=ПОКАЗАТЕЛИ!$A$84:$A$346)*(C53=ПОКАЗАТЕЛИ!$C$84:$C$346)*(D53=ПОКАЗАТЕЛИ!$D$84:$D$346),),0),8),"")</f>
        <v/>
      </c>
    </row>
    <row r="54" spans="1:13" ht="15" customHeight="1" x14ac:dyDescent="0.25">
      <c r="A54" s="229" t="str">
        <v/>
      </c>
      <c r="B54" s="230" t="str">
        <v/>
      </c>
      <c r="C54" s="230" t="str">
        <v/>
      </c>
      <c r="D54" s="230" t="str">
        <v/>
      </c>
      <c r="E54" s="111"/>
      <c r="F54" s="189" t="str">
        <f>IFERROR(INDEX(ПОКАЗАТЕЛИ!$A$6:$H$20,MATCH(1,INDEX((A54=ПОКАЗАТЕЛИ!$A$6:$A$20)*(C54=ПОКАЗАТЕЛИ!$C$6:$C$20)*(D54=ПОКАЗАТЕЛИ!$D$6:$D$20),),0),6),"")</f>
        <v/>
      </c>
      <c r="G54" s="170"/>
      <c r="H54" s="190">
        <f>IFERROR(INDEX(ПОКАЗАТЕЛИ!$A$21:$H$83,MATCH(1,INDEX((A54=ПОКАЗАТЕЛИ!$A$21:$A$83)*(C54=ПОКАЗАТЕЛИ!$C$21:$C$83)*(D54=ПОКАЗАТЕЛИ!$D$21:$D$83),),0),6),"")</f>
        <v>0</v>
      </c>
      <c r="I54" s="231" t="str">
        <f>IFERROR(INDEX(ПОКАЗАТЕЛИ!$A$84:$H$346,MATCH(1,INDEX((A54=ПОКАЗАТЕЛИ!$A$84:$A$346)*(C54=ПОКАЗАТЕЛИ!$C$84:$C$346)*(D54=ПОКАЗАТЕЛИ!$D$84:$D$346),),0),6),"")</f>
        <v/>
      </c>
      <c r="J54" s="119">
        <f>IFERROR(INDEX(ПОКАЗАТЕЛИ!$A$21:$H$83,MATCH(1,INDEX((A54=ПОКАЗАТЕЛИ!$A$21:$A$83)*(C54=ПОКАЗАТЕЛИ!$C$21:$C$83)*(D54=ПОКАЗАТЕЛИ!$D$21:$D$83),),0),7),"")</f>
        <v>0</v>
      </c>
      <c r="K54" s="172" t="str">
        <f>IFERROR(INDEX(ПОКАЗАТЕЛИ!$A$84:$H$346,MATCH(1,INDEX((A54=ПОКАЗАТЕЛИ!$A$84:$A$346)*(C54=ПОКАЗАТЕЛИ!$C$84:$C$346)*(D54=ПОКАЗАТЕЛИ!$D$84:$D$346),),0),7),"")</f>
        <v/>
      </c>
      <c r="L54" s="172">
        <f>IFERROR(INDEX(ПОКАЗАТЕЛИ!$A$21:$H$83,MATCH(1,INDEX((A54=ПОКАЗАТЕЛИ!$A$21:$A$83)*(C54=ПОКАЗАТЕЛИ!$C$21:$C$83)*(D54=ПОКАЗАТЕЛИ!$D$21:$D$83),),0),8),"")</f>
        <v>0</v>
      </c>
      <c r="M54" s="172" t="str">
        <f>IFERROR(INDEX(ПОКАЗАТЕЛИ!$A$84:$H$346,MATCH(1,INDEX((A54=ПОКАЗАТЕЛИ!$A$84:$A$346)*(C54=ПОКАЗАТЕЛИ!$C$84:$C$346)*(D54=ПОКАЗАТЕЛИ!$D$84:$D$346),),0),8),"")</f>
        <v/>
      </c>
    </row>
    <row r="55" spans="1:13" ht="15" customHeight="1" x14ac:dyDescent="0.25">
      <c r="A55" s="229" t="str">
        <v/>
      </c>
      <c r="B55" s="230" t="str">
        <v/>
      </c>
      <c r="C55" s="230" t="str">
        <v/>
      </c>
      <c r="D55" s="230" t="str">
        <v/>
      </c>
      <c r="E55" s="111"/>
      <c r="F55" s="189" t="str">
        <f>IFERROR(INDEX(ПОКАЗАТЕЛИ!$A$6:$H$20,MATCH(1,INDEX((A55=ПОКАЗАТЕЛИ!$A$6:$A$20)*(C55=ПОКАЗАТЕЛИ!$C$6:$C$20)*(D55=ПОКАЗАТЕЛИ!$D$6:$D$20),),0),6),"")</f>
        <v/>
      </c>
      <c r="G55" s="170"/>
      <c r="H55" s="190">
        <f>IFERROR(INDEX(ПОКАЗАТЕЛИ!$A$21:$H$83,MATCH(1,INDEX((A55=ПОКАЗАТЕЛИ!$A$21:$A$83)*(C55=ПОКАЗАТЕЛИ!$C$21:$C$83)*(D55=ПОКАЗАТЕЛИ!$D$21:$D$83),),0),6),"")</f>
        <v>0</v>
      </c>
      <c r="I55" s="191" t="str">
        <f>IFERROR(INDEX(ПОКАЗАТЕЛИ!$A$84:$H$346,MATCH(1,INDEX((A55=ПОКАЗАТЕЛИ!$A$84:$A$346)*(C55=ПОКАЗАТЕЛИ!$C$84:$C$346)*(D55=ПОКАЗАТЕЛИ!$D$84:$D$346),),0),6),"")</f>
        <v/>
      </c>
      <c r="J55" s="119">
        <f>IFERROR(INDEX(ПОКАЗАТЕЛИ!$A$21:$H$83,MATCH(1,INDEX((A55=ПОКАЗАТЕЛИ!$A$21:$A$83)*(C55=ПОКАЗАТЕЛИ!$C$21:$C$83)*(D55=ПОКАЗАТЕЛИ!$D$21:$D$83),),0),7),"")</f>
        <v>0</v>
      </c>
      <c r="K55" s="172" t="str">
        <f>IFERROR(INDEX(ПОКАЗАТЕЛИ!$A$84:$H$346,MATCH(1,INDEX((A55=ПОКАЗАТЕЛИ!$A$84:$A$346)*(C55=ПОКАЗАТЕЛИ!$C$84:$C$346)*(D55=ПОКАЗАТЕЛИ!$D$84:$D$346),),0),7),"")</f>
        <v/>
      </c>
      <c r="L55" s="172">
        <f>IFERROR(INDEX(ПОКАЗАТЕЛИ!$A$21:$H$83,MATCH(1,INDEX((A55=ПОКАЗАТЕЛИ!$A$21:$A$83)*(C55=ПОКАЗАТЕЛИ!$C$21:$C$83)*(D55=ПОКАЗАТЕЛИ!$D$21:$D$83),),0),8),"")</f>
        <v>0</v>
      </c>
      <c r="M55" s="172" t="str">
        <f>IFERROR(INDEX(ПОКАЗАТЕЛИ!$A$84:$H$346,MATCH(1,INDEX((A55=ПОКАЗАТЕЛИ!$A$84:$A$346)*(C55=ПОКАЗАТЕЛИ!$C$84:$C$346)*(D55=ПОКАЗАТЕЛИ!$D$84:$D$346),),0),8),"")</f>
        <v/>
      </c>
    </row>
    <row r="56" spans="1:13" ht="15" customHeight="1" x14ac:dyDescent="0.25">
      <c r="A56" s="229" t="str">
        <v/>
      </c>
      <c r="B56" s="230" t="str">
        <v/>
      </c>
      <c r="C56" s="230" t="str">
        <v/>
      </c>
      <c r="D56" s="230" t="str">
        <v/>
      </c>
      <c r="E56" s="111"/>
      <c r="F56" s="189" t="str">
        <f>IFERROR(INDEX(ПОКАЗАТЕЛИ!$A$6:$H$20,MATCH(1,INDEX((A56=ПОКАЗАТЕЛИ!$A$6:$A$20)*(C56=ПОКАЗАТЕЛИ!$C$6:$C$20)*(D56=ПОКАЗАТЕЛИ!$D$6:$D$20),),0),6),"")</f>
        <v/>
      </c>
      <c r="G56" s="170"/>
      <c r="H56" s="190">
        <f>IFERROR(INDEX(ПОКАЗАТЕЛИ!$A$21:$H$83,MATCH(1,INDEX((A56=ПОКАЗАТЕЛИ!$A$21:$A$83)*(C56=ПОКАЗАТЕЛИ!$C$21:$C$83)*(D56=ПОКАЗАТЕЛИ!$D$21:$D$83),),0),6),"")</f>
        <v>0</v>
      </c>
      <c r="I56" s="191" t="str">
        <f>IFERROR(INDEX(ПОКАЗАТЕЛИ!$A$84:$H$346,MATCH(1,INDEX((A56=ПОКАЗАТЕЛИ!$A$84:$A$346)*(C56=ПОКАЗАТЕЛИ!$C$84:$C$346)*(D56=ПОКАЗАТЕЛИ!$D$84:$D$346),),0),6),"")</f>
        <v/>
      </c>
      <c r="J56" s="119">
        <f>IFERROR(INDEX(ПОКАЗАТЕЛИ!$A$21:$H$83,MATCH(1,INDEX((A56=ПОКАЗАТЕЛИ!$A$21:$A$83)*(C56=ПОКАЗАТЕЛИ!$C$21:$C$83)*(D56=ПОКАЗАТЕЛИ!$D$21:$D$83),),0),7),"")</f>
        <v>0</v>
      </c>
      <c r="K56" s="172" t="str">
        <f>IFERROR(INDEX(ПОКАЗАТЕЛИ!$A$84:$H$346,MATCH(1,INDEX((A56=ПОКАЗАТЕЛИ!$A$84:$A$346)*(C56=ПОКАЗАТЕЛИ!$C$84:$C$346)*(D56=ПОКАЗАТЕЛИ!$D$84:$D$346),),0),7),"")</f>
        <v/>
      </c>
      <c r="L56" s="172">
        <f>IFERROR(INDEX(ПОКАЗАТЕЛИ!$A$21:$H$83,MATCH(1,INDEX((A56=ПОКАЗАТЕЛИ!$A$21:$A$83)*(C56=ПОКАЗАТЕЛИ!$C$21:$C$83)*(D56=ПОКАЗАТЕЛИ!$D$21:$D$83),),0),8),"")</f>
        <v>0</v>
      </c>
      <c r="M56" s="172" t="str">
        <f>IFERROR(INDEX(ПОКАЗАТЕЛИ!$A$84:$H$346,MATCH(1,INDEX((A56=ПОКАЗАТЕЛИ!$A$84:$A$346)*(C56=ПОКАЗАТЕЛИ!$C$84:$C$346)*(D56=ПОКАЗАТЕЛИ!$D$84:$D$346),),0),8),"")</f>
        <v/>
      </c>
    </row>
    <row r="57" spans="1:13" ht="15" customHeight="1" x14ac:dyDescent="0.25">
      <c r="A57" s="229" t="str">
        <v/>
      </c>
      <c r="B57" s="230" t="str">
        <v/>
      </c>
      <c r="C57" s="230" t="str">
        <v/>
      </c>
      <c r="D57" s="230" t="str">
        <v/>
      </c>
      <c r="E57" s="111"/>
      <c r="F57" s="189" t="str">
        <f>IFERROR(INDEX(ПОКАЗАТЕЛИ!$A$6:$H$20,MATCH(1,INDEX((A57=ПОКАЗАТЕЛИ!$A$6:$A$20)*(C57=ПОКАЗАТЕЛИ!$C$6:$C$20)*(D57=ПОКАЗАТЕЛИ!$D$6:$D$20),),0),6),"")</f>
        <v/>
      </c>
      <c r="G57" s="170"/>
      <c r="H57" s="190">
        <f>IFERROR(INDEX(ПОКАЗАТЕЛИ!$A$21:$H$83,MATCH(1,INDEX((A57=ПОКАЗАТЕЛИ!$A$21:$A$83)*(C57=ПОКАЗАТЕЛИ!$C$21:$C$83)*(D57=ПОКАЗАТЕЛИ!$D$21:$D$83),),0),6),"")</f>
        <v>0</v>
      </c>
      <c r="I57" s="191" t="str">
        <f>IFERROR(INDEX(ПОКАЗАТЕЛИ!$A$84:$H$346,MATCH(1,INDEX((A57=ПОКАЗАТЕЛИ!$A$84:$A$346)*(C57=ПОКАЗАТЕЛИ!$C$84:$C$346)*(D57=ПОКАЗАТЕЛИ!$D$84:$D$346),),0),6),"")</f>
        <v/>
      </c>
      <c r="J57" s="119">
        <f>IFERROR(INDEX(ПОКАЗАТЕЛИ!$A$21:$H$83,MATCH(1,INDEX((A57=ПОКАЗАТЕЛИ!$A$21:$A$83)*(C57=ПОКАЗАТЕЛИ!$C$21:$C$83)*(D57=ПОКАЗАТЕЛИ!$D$21:$D$83),),0),7),"")</f>
        <v>0</v>
      </c>
      <c r="K57" s="172" t="str">
        <f>IFERROR(INDEX(ПОКАЗАТЕЛИ!$A$84:$H$346,MATCH(1,INDEX((A57=ПОКАЗАТЕЛИ!$A$84:$A$346)*(C57=ПОКАЗАТЕЛИ!$C$84:$C$346)*(D57=ПОКАЗАТЕЛИ!$D$84:$D$346),),0),7),"")</f>
        <v/>
      </c>
      <c r="L57" s="172">
        <f>IFERROR(INDEX(ПОКАЗАТЕЛИ!$A$21:$H$83,MATCH(1,INDEX((A57=ПОКАЗАТЕЛИ!$A$21:$A$83)*(C57=ПОКАЗАТЕЛИ!$C$21:$C$83)*(D57=ПОКАЗАТЕЛИ!$D$21:$D$83),),0),8),"")</f>
        <v>0</v>
      </c>
      <c r="M57" s="172" t="str">
        <f>IFERROR(INDEX(ПОКАЗАТЕЛИ!$A$84:$H$346,MATCH(1,INDEX((A57=ПОКАЗАТЕЛИ!$A$84:$A$346)*(C57=ПОКАЗАТЕЛИ!$C$84:$C$346)*(D57=ПОКАЗАТЕЛИ!$D$84:$D$346),),0),8),"")</f>
        <v/>
      </c>
    </row>
    <row r="58" spans="1:13" ht="15" customHeight="1" x14ac:dyDescent="0.25">
      <c r="A58" s="229" t="str">
        <v/>
      </c>
      <c r="B58" s="230" t="str">
        <v/>
      </c>
      <c r="C58" s="230" t="str">
        <v/>
      </c>
      <c r="D58" s="230" t="str">
        <v/>
      </c>
      <c r="E58" s="111"/>
      <c r="F58" s="189" t="str">
        <f>IFERROR(INDEX(ПОКАЗАТЕЛИ!$A$6:$H$20,MATCH(1,INDEX((A58=ПОКАЗАТЕЛИ!$A$6:$A$20)*(C58=ПОКАЗАТЕЛИ!$C$6:$C$20)*(D58=ПОКАЗАТЕЛИ!$D$6:$D$20),),0),6),"")</f>
        <v/>
      </c>
      <c r="G58" s="170"/>
      <c r="H58" s="190">
        <f>IFERROR(INDEX(ПОКАЗАТЕЛИ!$A$21:$H$83,MATCH(1,INDEX((A58=ПОКАЗАТЕЛИ!$A$21:$A$83)*(C58=ПОКАЗАТЕЛИ!$C$21:$C$83)*(D58=ПОКАЗАТЕЛИ!$D$21:$D$83),),0),6),"")</f>
        <v>0</v>
      </c>
      <c r="I58" s="191" t="str">
        <f>IFERROR(INDEX(ПОКАЗАТЕЛИ!$A$84:$H$346,MATCH(1,INDEX((A58=ПОКАЗАТЕЛИ!$A$84:$A$346)*(C58=ПОКАЗАТЕЛИ!$C$84:$C$346)*(D58=ПОКАЗАТЕЛИ!$D$84:$D$346),),0),6),"")</f>
        <v/>
      </c>
      <c r="J58" s="119">
        <f>IFERROR(INDEX(ПОКАЗАТЕЛИ!$A$21:$H$83,MATCH(1,INDEX((A58=ПОКАЗАТЕЛИ!$A$21:$A$83)*(C58=ПОКАЗАТЕЛИ!$C$21:$C$83)*(D58=ПОКАЗАТЕЛИ!$D$21:$D$83),),0),7),"")</f>
        <v>0</v>
      </c>
      <c r="K58" s="172" t="str">
        <f>IFERROR(INDEX(ПОКАЗАТЕЛИ!$A$84:$H$346,MATCH(1,INDEX((A58=ПОКАЗАТЕЛИ!$A$84:$A$346)*(C58=ПОКАЗАТЕЛИ!$C$84:$C$346)*(D58=ПОКАЗАТЕЛИ!$D$84:$D$346),),0),7),"")</f>
        <v/>
      </c>
      <c r="L58" s="172">
        <f>IFERROR(INDEX(ПОКАЗАТЕЛИ!$A$21:$H$83,MATCH(1,INDEX((A58=ПОКАЗАТЕЛИ!$A$21:$A$83)*(C58=ПОКАЗАТЕЛИ!$C$21:$C$83)*(D58=ПОКАЗАТЕЛИ!$D$21:$D$83),),0),8),"")</f>
        <v>0</v>
      </c>
      <c r="M58" s="172" t="str">
        <f>IFERROR(INDEX(ПОКАЗАТЕЛИ!$A$84:$H$346,MATCH(1,INDEX((A58=ПОКАЗАТЕЛИ!$A$84:$A$346)*(C58=ПОКАЗАТЕЛИ!$C$84:$C$346)*(D58=ПОКАЗАТЕЛИ!$D$84:$D$346),),0),8),"")</f>
        <v/>
      </c>
    </row>
    <row r="59" spans="1:13" ht="15" customHeight="1" x14ac:dyDescent="0.25">
      <c r="A59" s="229" t="str">
        <v/>
      </c>
      <c r="B59" s="230" t="str">
        <v/>
      </c>
      <c r="C59" s="230" t="str">
        <v/>
      </c>
      <c r="D59" s="230" t="str">
        <v/>
      </c>
      <c r="E59" s="111"/>
      <c r="F59" s="189" t="str">
        <f>IFERROR(INDEX(ПОКАЗАТЕЛИ!$A$6:$H$20,MATCH(1,INDEX((A59=ПОКАЗАТЕЛИ!$A$6:$A$20)*(C59=ПОКАЗАТЕЛИ!$C$6:$C$20)*(D59=ПОКАЗАТЕЛИ!$D$6:$D$20),),0),6),"")</f>
        <v/>
      </c>
      <c r="G59" s="170"/>
      <c r="H59" s="190">
        <f>IFERROR(INDEX(ПОКАЗАТЕЛИ!$A$21:$H$83,MATCH(1,INDEX((A59=ПОКАЗАТЕЛИ!$A$21:$A$83)*(C59=ПОКАЗАТЕЛИ!$C$21:$C$83)*(D59=ПОКАЗАТЕЛИ!$D$21:$D$83),),0),6),"")</f>
        <v>0</v>
      </c>
      <c r="I59" s="191" t="str">
        <f>IFERROR(INDEX(ПОКАЗАТЕЛИ!$A$84:$H$346,MATCH(1,INDEX((A59=ПОКАЗАТЕЛИ!$A$84:$A$346)*(C59=ПОКАЗАТЕЛИ!$C$84:$C$346)*(D59=ПОКАЗАТЕЛИ!$D$84:$D$346),),0),6),"")</f>
        <v/>
      </c>
      <c r="J59" s="119">
        <f>IFERROR(INDEX(ПОКАЗАТЕЛИ!$A$21:$H$83,MATCH(1,INDEX((A59=ПОКАЗАТЕЛИ!$A$21:$A$83)*(C59=ПОКАЗАТЕЛИ!$C$21:$C$83)*(D59=ПОКАЗАТЕЛИ!$D$21:$D$83),),0),7),"")</f>
        <v>0</v>
      </c>
      <c r="K59" s="172" t="str">
        <f>IFERROR(INDEX(ПОКАЗАТЕЛИ!$A$84:$H$346,MATCH(1,INDEX((A59=ПОКАЗАТЕЛИ!$A$84:$A$346)*(C59=ПОКАЗАТЕЛИ!$C$84:$C$346)*(D59=ПОКАЗАТЕЛИ!$D$84:$D$346),),0),7),"")</f>
        <v/>
      </c>
      <c r="L59" s="172">
        <f>IFERROR(INDEX(ПОКАЗАТЕЛИ!$A$21:$H$83,MATCH(1,INDEX((A59=ПОКАЗАТЕЛИ!$A$21:$A$83)*(C59=ПОКАЗАТЕЛИ!$C$21:$C$83)*(D59=ПОКАЗАТЕЛИ!$D$21:$D$83),),0),8),"")</f>
        <v>0</v>
      </c>
      <c r="M59" s="172" t="str">
        <f>IFERROR(INDEX(ПОКАЗАТЕЛИ!$A$84:$H$346,MATCH(1,INDEX((A59=ПОКАЗАТЕЛИ!$A$84:$A$346)*(C59=ПОКАЗАТЕЛИ!$C$84:$C$346)*(D59=ПОКАЗАТЕЛИ!$D$84:$D$346),),0),8),"")</f>
        <v/>
      </c>
    </row>
    <row r="60" spans="1:13" ht="15" customHeight="1" x14ac:dyDescent="0.25">
      <c r="A60" s="229" t="str">
        <v/>
      </c>
      <c r="B60" s="230" t="str">
        <v/>
      </c>
      <c r="C60" s="230" t="str">
        <v/>
      </c>
      <c r="D60" s="230" t="str">
        <v/>
      </c>
      <c r="E60" s="111"/>
      <c r="F60" s="189" t="str">
        <f>IFERROR(INDEX(ПОКАЗАТЕЛИ!$A$6:$H$20,MATCH(1,INDEX((A60=ПОКАЗАТЕЛИ!$A$6:$A$20)*(C60=ПОКАЗАТЕЛИ!$C$6:$C$20)*(D60=ПОКАЗАТЕЛИ!$D$6:$D$20),),0),6),"")</f>
        <v/>
      </c>
      <c r="G60" s="170"/>
      <c r="H60" s="190">
        <f>IFERROR(INDEX(ПОКАЗАТЕЛИ!$A$21:$H$83,MATCH(1,INDEX((A60=ПОКАЗАТЕЛИ!$A$21:$A$83)*(C60=ПОКАЗАТЕЛИ!$C$21:$C$83)*(D60=ПОКАЗАТЕЛИ!$D$21:$D$83),),0),6),"")</f>
        <v>0</v>
      </c>
      <c r="I60" s="191" t="str">
        <f>IFERROR(INDEX(ПОКАЗАТЕЛИ!$A$84:$H$346,MATCH(1,INDEX((A60=ПОКАЗАТЕЛИ!$A$84:$A$346)*(C60=ПОКАЗАТЕЛИ!$C$84:$C$346)*(D60=ПОКАЗАТЕЛИ!$D$84:$D$346),),0),6),"")</f>
        <v/>
      </c>
      <c r="J60" s="119">
        <f>IFERROR(INDEX(ПОКАЗАТЕЛИ!$A$21:$H$83,MATCH(1,INDEX((A60=ПОКАЗАТЕЛИ!$A$21:$A$83)*(C60=ПОКАЗАТЕЛИ!$C$21:$C$83)*(D60=ПОКАЗАТЕЛИ!$D$21:$D$83),),0),7),"")</f>
        <v>0</v>
      </c>
      <c r="K60" s="172" t="str">
        <f>IFERROR(INDEX(ПОКАЗАТЕЛИ!$A$84:$H$346,MATCH(1,INDEX((A60=ПОКАЗАТЕЛИ!$A$84:$A$346)*(C60=ПОКАЗАТЕЛИ!$C$84:$C$346)*(D60=ПОКАЗАТЕЛИ!$D$84:$D$346),),0),7),"")</f>
        <v/>
      </c>
      <c r="L60" s="172">
        <f>IFERROR(INDEX(ПОКАЗАТЕЛИ!$A$21:$H$83,MATCH(1,INDEX((A60=ПОКАЗАТЕЛИ!$A$21:$A$83)*(C60=ПОКАЗАТЕЛИ!$C$21:$C$83)*(D60=ПОКАЗАТЕЛИ!$D$21:$D$83),),0),8),"")</f>
        <v>0</v>
      </c>
      <c r="M60" s="172" t="str">
        <f>IFERROR(INDEX(ПОКАЗАТЕЛИ!$A$84:$H$346,MATCH(1,INDEX((A60=ПОКАЗАТЕЛИ!$A$84:$A$346)*(C60=ПОКАЗАТЕЛИ!$C$84:$C$346)*(D60=ПОКАЗАТЕЛИ!$D$84:$D$346),),0),8),"")</f>
        <v/>
      </c>
    </row>
    <row r="61" spans="1:13" ht="15" customHeight="1" x14ac:dyDescent="0.25">
      <c r="A61" s="229" t="str">
        <v/>
      </c>
      <c r="B61" s="230" t="str">
        <v/>
      </c>
      <c r="C61" s="230" t="str">
        <v/>
      </c>
      <c r="D61" s="230" t="str">
        <v/>
      </c>
      <c r="E61" s="111"/>
      <c r="F61" s="189" t="str">
        <f>IFERROR(INDEX(ПОКАЗАТЕЛИ!$A$6:$H$20,MATCH(1,INDEX((A61=ПОКАЗАТЕЛИ!$A$6:$A$20)*(C61=ПОКАЗАТЕЛИ!$C$6:$C$20)*(D61=ПОКАЗАТЕЛИ!$D$6:$D$20),),0),6),"")</f>
        <v/>
      </c>
      <c r="G61" s="170"/>
      <c r="H61" s="190">
        <f>IFERROR(INDEX(ПОКАЗАТЕЛИ!$A$21:$H$83,MATCH(1,INDEX((A61=ПОКАЗАТЕЛИ!$A$21:$A$83)*(C61=ПОКАЗАТЕЛИ!$C$21:$C$83)*(D61=ПОКАЗАТЕЛИ!$D$21:$D$83),),0),6),"")</f>
        <v>0</v>
      </c>
      <c r="I61" s="191" t="str">
        <f>IFERROR(INDEX(ПОКАЗАТЕЛИ!$A$84:$H$346,MATCH(1,INDEX((A61=ПОКАЗАТЕЛИ!$A$84:$A$346)*(C61=ПОКАЗАТЕЛИ!$C$84:$C$346)*(D61=ПОКАЗАТЕЛИ!$D$84:$D$346),),0),6),"")</f>
        <v/>
      </c>
      <c r="J61" s="119">
        <f>IFERROR(INDEX(ПОКАЗАТЕЛИ!$A$21:$H$83,MATCH(1,INDEX((A61=ПОКАЗАТЕЛИ!$A$21:$A$83)*(C61=ПОКАЗАТЕЛИ!$C$21:$C$83)*(D61=ПОКАЗАТЕЛИ!$D$21:$D$83),),0),7),"")</f>
        <v>0</v>
      </c>
      <c r="K61" s="172" t="str">
        <f>IFERROR(INDEX(ПОКАЗАТЕЛИ!$A$84:$H$346,MATCH(1,INDEX((A61=ПОКАЗАТЕЛИ!$A$84:$A$346)*(C61=ПОКАЗАТЕЛИ!$C$84:$C$346)*(D61=ПОКАЗАТЕЛИ!$D$84:$D$346),),0),7),"")</f>
        <v/>
      </c>
      <c r="L61" s="172">
        <f>IFERROR(INDEX(ПОКАЗАТЕЛИ!$A$21:$H$83,MATCH(1,INDEX((A61=ПОКАЗАТЕЛИ!$A$21:$A$83)*(C61=ПОКАЗАТЕЛИ!$C$21:$C$83)*(D61=ПОКАЗАТЕЛИ!$D$21:$D$83),),0),8),"")</f>
        <v>0</v>
      </c>
      <c r="M61" s="172" t="str">
        <f>IFERROR(INDEX(ПОКАЗАТЕЛИ!$A$84:$H$346,MATCH(1,INDEX((A61=ПОКАЗАТЕЛИ!$A$84:$A$346)*(C61=ПОКАЗАТЕЛИ!$C$84:$C$346)*(D61=ПОКАЗАТЕЛИ!$D$84:$D$346),),0),8),"")</f>
        <v/>
      </c>
    </row>
    <row r="62" spans="1:13" ht="15" customHeight="1" x14ac:dyDescent="0.25">
      <c r="A62" s="229" t="str">
        <v/>
      </c>
      <c r="B62" s="230" t="str">
        <v/>
      </c>
      <c r="C62" s="230" t="str">
        <v/>
      </c>
      <c r="D62" s="230" t="str">
        <v/>
      </c>
      <c r="E62" s="111"/>
      <c r="F62" s="189" t="str">
        <f>IFERROR(INDEX(ПОКАЗАТЕЛИ!$A$6:$H$20,MATCH(1,INDEX((A62=ПОКАЗАТЕЛИ!$A$6:$A$20)*(C62=ПОКАЗАТЕЛИ!$C$6:$C$20)*(D62=ПОКАЗАТЕЛИ!$D$6:$D$20),),0),6),"")</f>
        <v/>
      </c>
      <c r="G62" s="170"/>
      <c r="H62" s="190">
        <f>IFERROR(INDEX(ПОКАЗАТЕЛИ!$A$21:$H$83,MATCH(1,INDEX((A62=ПОКАЗАТЕЛИ!$A$21:$A$83)*(C62=ПОКАЗАТЕЛИ!$C$21:$C$83)*(D62=ПОКАЗАТЕЛИ!$D$21:$D$83),),0),6),"")</f>
        <v>0</v>
      </c>
      <c r="I62" s="191" t="str">
        <f>IFERROR(INDEX(ПОКАЗАТЕЛИ!$A$84:$H$346,MATCH(1,INDEX((A62=ПОКАЗАТЕЛИ!$A$84:$A$346)*(C62=ПОКАЗАТЕЛИ!$C$84:$C$346)*(D62=ПОКАЗАТЕЛИ!$D$84:$D$346),),0),6),"")</f>
        <v/>
      </c>
      <c r="J62" s="119">
        <f>IFERROR(INDEX(ПОКАЗАТЕЛИ!$A$21:$H$83,MATCH(1,INDEX((A62=ПОКАЗАТЕЛИ!$A$21:$A$83)*(C62=ПОКАЗАТЕЛИ!$C$21:$C$83)*(D62=ПОКАЗАТЕЛИ!$D$21:$D$83),),0),7),"")</f>
        <v>0</v>
      </c>
      <c r="K62" s="172" t="str">
        <f>IFERROR(INDEX(ПОКАЗАТЕЛИ!$A$84:$H$346,MATCH(1,INDEX((A62=ПОКАЗАТЕЛИ!$A$84:$A$346)*(C62=ПОКАЗАТЕЛИ!$C$84:$C$346)*(D62=ПОКАЗАТЕЛИ!$D$84:$D$346),),0),7),"")</f>
        <v/>
      </c>
      <c r="L62" s="172">
        <f>IFERROR(INDEX(ПОКАЗАТЕЛИ!$A$21:$H$83,MATCH(1,INDEX((A62=ПОКАЗАТЕЛИ!$A$21:$A$83)*(C62=ПОКАЗАТЕЛИ!$C$21:$C$83)*(D62=ПОКАЗАТЕЛИ!$D$21:$D$83),),0),8),"")</f>
        <v>0</v>
      </c>
      <c r="M62" s="172" t="str">
        <f>IFERROR(INDEX(ПОКАЗАТЕЛИ!$A$84:$H$346,MATCH(1,INDEX((A62=ПОКАЗАТЕЛИ!$A$84:$A$346)*(C62=ПОКАЗАТЕЛИ!$C$84:$C$346)*(D62=ПОКАЗАТЕЛИ!$D$84:$D$346),),0),8),"")</f>
        <v/>
      </c>
    </row>
    <row r="63" spans="1:13" ht="15" customHeight="1" x14ac:dyDescent="0.25">
      <c r="A63" s="229" t="str">
        <v/>
      </c>
      <c r="B63" s="230" t="str">
        <v/>
      </c>
      <c r="C63" s="230" t="str">
        <v/>
      </c>
      <c r="D63" s="230" t="str">
        <v/>
      </c>
      <c r="E63" s="111"/>
      <c r="F63" s="189" t="str">
        <f>IFERROR(INDEX(ПОКАЗАТЕЛИ!$A$6:$H$20,MATCH(1,INDEX((A63=ПОКАЗАТЕЛИ!$A$6:$A$20)*(C63=ПОКАЗАТЕЛИ!$C$6:$C$20)*(D63=ПОКАЗАТЕЛИ!$D$6:$D$20),),0),6),"")</f>
        <v/>
      </c>
      <c r="G63" s="170"/>
      <c r="H63" s="190">
        <f>IFERROR(INDEX(ПОКАЗАТЕЛИ!$A$21:$H$83,MATCH(1,INDEX((A63=ПОКАЗАТЕЛИ!$A$21:$A$83)*(C63=ПОКАЗАТЕЛИ!$C$21:$C$83)*(D63=ПОКАЗАТЕЛИ!$D$21:$D$83),),0),6),"")</f>
        <v>0</v>
      </c>
      <c r="I63" s="191" t="str">
        <f>IFERROR(INDEX(ПОКАЗАТЕЛИ!$A$84:$H$346,MATCH(1,INDEX((A63=ПОКАЗАТЕЛИ!$A$84:$A$346)*(C63=ПОКАЗАТЕЛИ!$C$84:$C$346)*(D63=ПОКАЗАТЕЛИ!$D$84:$D$346),),0),6),"")</f>
        <v/>
      </c>
      <c r="J63" s="119">
        <f>IFERROR(INDEX(ПОКАЗАТЕЛИ!$A$21:$H$83,MATCH(1,INDEX((A63=ПОКАЗАТЕЛИ!$A$21:$A$83)*(C63=ПОКАЗАТЕЛИ!$C$21:$C$83)*(D63=ПОКАЗАТЕЛИ!$D$21:$D$83),),0),7),"")</f>
        <v>0</v>
      </c>
      <c r="K63" s="172" t="str">
        <f>IFERROR(INDEX(ПОКАЗАТЕЛИ!$A$84:$H$346,MATCH(1,INDEX((A63=ПОКАЗАТЕЛИ!$A$84:$A$346)*(C63=ПОКАЗАТЕЛИ!$C$84:$C$346)*(D63=ПОКАЗАТЕЛИ!$D$84:$D$346),),0),7),"")</f>
        <v/>
      </c>
      <c r="L63" s="172">
        <f>IFERROR(INDEX(ПОКАЗАТЕЛИ!$A$21:$H$83,MATCH(1,INDEX((A63=ПОКАЗАТЕЛИ!$A$21:$A$83)*(C63=ПОКАЗАТЕЛИ!$C$21:$C$83)*(D63=ПОКАЗАТЕЛИ!$D$21:$D$83),),0),8),"")</f>
        <v>0</v>
      </c>
      <c r="M63" s="172" t="str">
        <f>IFERROR(INDEX(ПОКАЗАТЕЛИ!$A$84:$H$346,MATCH(1,INDEX((A63=ПОКАЗАТЕЛИ!$A$84:$A$346)*(C63=ПОКАЗАТЕЛИ!$C$84:$C$346)*(D63=ПОКАЗАТЕЛИ!$D$84:$D$346),),0),8),"")</f>
        <v/>
      </c>
    </row>
    <row r="64" spans="1:13" ht="15" customHeight="1" x14ac:dyDescent="0.25">
      <c r="A64" s="229" t="str">
        <v/>
      </c>
      <c r="B64" s="230" t="str">
        <v/>
      </c>
      <c r="C64" s="230" t="str">
        <v/>
      </c>
      <c r="D64" s="230" t="str">
        <v/>
      </c>
      <c r="E64" s="111"/>
      <c r="F64" s="189" t="str">
        <f>IFERROR(INDEX(ПОКАЗАТЕЛИ!$A$6:$H$20,MATCH(1,INDEX((A64=ПОКАЗАТЕЛИ!$A$6:$A$20)*(C64=ПОКАЗАТЕЛИ!$C$6:$C$20)*(D64=ПОКАЗАТЕЛИ!$D$6:$D$20),),0),6),"")</f>
        <v/>
      </c>
      <c r="G64" s="170"/>
      <c r="H64" s="190">
        <f>IFERROR(INDEX(ПОКАЗАТЕЛИ!$A$21:$H$83,MATCH(1,INDEX((A64=ПОКАЗАТЕЛИ!$A$21:$A$83)*(C64=ПОКАЗАТЕЛИ!$C$21:$C$83)*(D64=ПОКАЗАТЕЛИ!$D$21:$D$83),),0),6),"")</f>
        <v>0</v>
      </c>
      <c r="I64" s="191" t="str">
        <f>IFERROR(INDEX(ПОКАЗАТЕЛИ!$A$84:$H$346,MATCH(1,INDEX((A64=ПОКАЗАТЕЛИ!$A$84:$A$346)*(C64=ПОКАЗАТЕЛИ!$C$84:$C$346)*(D64=ПОКАЗАТЕЛИ!$D$84:$D$346),),0),6),"")</f>
        <v/>
      </c>
      <c r="J64" s="119">
        <f>IFERROR(INDEX(ПОКАЗАТЕЛИ!$A$21:$H$83,MATCH(1,INDEX((A64=ПОКАЗАТЕЛИ!$A$21:$A$83)*(C64=ПОКАЗАТЕЛИ!$C$21:$C$83)*(D64=ПОКАЗАТЕЛИ!$D$21:$D$83),),0),7),"")</f>
        <v>0</v>
      </c>
      <c r="K64" s="172" t="str">
        <f>IFERROR(INDEX(ПОКАЗАТЕЛИ!$A$84:$H$346,MATCH(1,INDEX((A64=ПОКАЗАТЕЛИ!$A$84:$A$346)*(C64=ПОКАЗАТЕЛИ!$C$84:$C$346)*(D64=ПОКАЗАТЕЛИ!$D$84:$D$346),),0),7),"")</f>
        <v/>
      </c>
      <c r="L64" s="172">
        <f>IFERROR(INDEX(ПОКАЗАТЕЛИ!$A$21:$H$83,MATCH(1,INDEX((A64=ПОКАЗАТЕЛИ!$A$21:$A$83)*(C64=ПОКАЗАТЕЛИ!$C$21:$C$83)*(D64=ПОКАЗАТЕЛИ!$D$21:$D$83),),0),8),"")</f>
        <v>0</v>
      </c>
      <c r="M64" s="172" t="str">
        <f>IFERROR(INDEX(ПОКАЗАТЕЛИ!$A$84:$H$346,MATCH(1,INDEX((A64=ПОКАЗАТЕЛИ!$A$84:$A$346)*(C64=ПОКАЗАТЕЛИ!$C$84:$C$346)*(D64=ПОКАЗАТЕЛИ!$D$84:$D$346),),0),8),"")</f>
        <v/>
      </c>
    </row>
    <row r="65" spans="1:13" ht="15" customHeight="1" x14ac:dyDescent="0.25">
      <c r="A65" s="229" t="str">
        <v/>
      </c>
      <c r="B65" s="230" t="str">
        <v/>
      </c>
      <c r="C65" s="230" t="str">
        <v/>
      </c>
      <c r="D65" s="230" t="str">
        <v/>
      </c>
      <c r="E65" s="111"/>
      <c r="F65" s="189" t="str">
        <f>IFERROR(INDEX(ПОКАЗАТЕЛИ!$A$6:$H$20,MATCH(1,INDEX((A65=ПОКАЗАТЕЛИ!$A$6:$A$20)*(C65=ПОКАЗАТЕЛИ!$C$6:$C$20)*(D65=ПОКАЗАТЕЛИ!$D$6:$D$20),),0),6),"")</f>
        <v/>
      </c>
      <c r="G65" s="170"/>
      <c r="H65" s="190">
        <f>IFERROR(INDEX(ПОКАЗАТЕЛИ!$A$21:$H$83,MATCH(1,INDEX((A65=ПОКАЗАТЕЛИ!$A$21:$A$83)*(C65=ПОКАЗАТЕЛИ!$C$21:$C$83)*(D65=ПОКАЗАТЕЛИ!$D$21:$D$83),),0),6),"")</f>
        <v>0</v>
      </c>
      <c r="I65" s="191" t="str">
        <f>IFERROR(INDEX(ПОКАЗАТЕЛИ!$A$84:$H$346,MATCH(1,INDEX((A65=ПОКАЗАТЕЛИ!$A$84:$A$346)*(C65=ПОКАЗАТЕЛИ!$C$84:$C$346)*(D65=ПОКАЗАТЕЛИ!$D$84:$D$346),),0),6),"")</f>
        <v/>
      </c>
      <c r="J65" s="119">
        <f>IFERROR(INDEX(ПОКАЗАТЕЛИ!$A$21:$H$83,MATCH(1,INDEX((A65=ПОКАЗАТЕЛИ!$A$21:$A$83)*(C65=ПОКАЗАТЕЛИ!$C$21:$C$83)*(D65=ПОКАЗАТЕЛИ!$D$21:$D$83),),0),7),"")</f>
        <v>0</v>
      </c>
      <c r="K65" s="172" t="str">
        <f>IFERROR(INDEX(ПОКАЗАТЕЛИ!$A$84:$H$346,MATCH(1,INDEX((A65=ПОКАЗАТЕЛИ!$A$84:$A$346)*(C65=ПОКАЗАТЕЛИ!$C$84:$C$346)*(D65=ПОКАЗАТЕЛИ!$D$84:$D$346),),0),7),"")</f>
        <v/>
      </c>
      <c r="L65" s="172">
        <f>IFERROR(INDEX(ПОКАЗАТЕЛИ!$A$21:$H$83,MATCH(1,INDEX((A65=ПОКАЗАТЕЛИ!$A$21:$A$83)*(C65=ПОКАЗАТЕЛИ!$C$21:$C$83)*(D65=ПОКАЗАТЕЛИ!$D$21:$D$83),),0),8),"")</f>
        <v>0</v>
      </c>
      <c r="M65" s="172" t="str">
        <f>IFERROR(INDEX(ПОКАЗАТЕЛИ!$A$84:$H$346,MATCH(1,INDEX((A65=ПОКАЗАТЕЛИ!$A$84:$A$346)*(C65=ПОКАЗАТЕЛИ!$C$84:$C$346)*(D65=ПОКАЗАТЕЛИ!$D$84:$D$346),),0),8),"")</f>
        <v/>
      </c>
    </row>
    <row r="66" spans="1:13" ht="15" customHeight="1" x14ac:dyDescent="0.25">
      <c r="A66" s="229" t="str">
        <v/>
      </c>
      <c r="B66" s="230" t="str">
        <v/>
      </c>
      <c r="C66" s="230" t="str">
        <v/>
      </c>
      <c r="D66" s="230" t="str">
        <v/>
      </c>
      <c r="E66" s="111"/>
      <c r="F66" s="189" t="str">
        <f>IFERROR(INDEX(ПОКАЗАТЕЛИ!$A$6:$H$20,MATCH(1,INDEX((A66=ПОКАЗАТЕЛИ!$A$6:$A$20)*(C66=ПОКАЗАТЕЛИ!$C$6:$C$20)*(D66=ПОКАЗАТЕЛИ!$D$6:$D$20),),0),6),"")</f>
        <v/>
      </c>
      <c r="G66" s="170"/>
      <c r="H66" s="190">
        <f>IFERROR(INDEX(ПОКАЗАТЕЛИ!$A$21:$H$83,MATCH(1,INDEX((A66=ПОКАЗАТЕЛИ!$A$21:$A$83)*(C66=ПОКАЗАТЕЛИ!$C$21:$C$83)*(D66=ПОКАЗАТЕЛИ!$D$21:$D$83),),0),6),"")</f>
        <v>0</v>
      </c>
      <c r="I66" s="191" t="str">
        <f>IFERROR(INDEX(ПОКАЗАТЕЛИ!$A$84:$H$346,MATCH(1,INDEX((A66=ПОКАЗАТЕЛИ!$A$84:$A$346)*(C66=ПОКАЗАТЕЛИ!$C$84:$C$346)*(D66=ПОКАЗАТЕЛИ!$D$84:$D$346),),0),6),"")</f>
        <v/>
      </c>
      <c r="J66" s="119">
        <f>IFERROR(INDEX(ПОКАЗАТЕЛИ!$A$21:$H$83,MATCH(1,INDEX((A66=ПОКАЗАТЕЛИ!$A$21:$A$83)*(C66=ПОКАЗАТЕЛИ!$C$21:$C$83)*(D66=ПОКАЗАТЕЛИ!$D$21:$D$83),),0),7),"")</f>
        <v>0</v>
      </c>
      <c r="K66" s="172" t="str">
        <f>IFERROR(INDEX(ПОКАЗАТЕЛИ!$A$84:$H$346,MATCH(1,INDEX((A66=ПОКАЗАТЕЛИ!$A$84:$A$346)*(C66=ПОКАЗАТЕЛИ!$C$84:$C$346)*(D66=ПОКАЗАТЕЛИ!$D$84:$D$346),),0),7),"")</f>
        <v/>
      </c>
      <c r="L66" s="172">
        <f>IFERROR(INDEX(ПОКАЗАТЕЛИ!$A$21:$H$83,MATCH(1,INDEX((A66=ПОКАЗАТЕЛИ!$A$21:$A$83)*(C66=ПОКАЗАТЕЛИ!$C$21:$C$83)*(D66=ПОКАЗАТЕЛИ!$D$21:$D$83),),0),8),"")</f>
        <v>0</v>
      </c>
      <c r="M66" s="172" t="str">
        <f>IFERROR(INDEX(ПОКАЗАТЕЛИ!$A$84:$H$346,MATCH(1,INDEX((A66=ПОКАЗАТЕЛИ!$A$84:$A$346)*(C66=ПОКАЗАТЕЛИ!$C$84:$C$346)*(D66=ПОКАЗАТЕЛИ!$D$84:$D$346),),0),8),"")</f>
        <v/>
      </c>
    </row>
    <row r="67" spans="1:13" ht="15" customHeight="1" x14ac:dyDescent="0.25">
      <c r="A67" s="229" t="str">
        <v/>
      </c>
      <c r="B67" s="230" t="str">
        <v/>
      </c>
      <c r="C67" s="230" t="str">
        <v/>
      </c>
      <c r="D67" s="230" t="str">
        <v/>
      </c>
      <c r="E67" s="111"/>
      <c r="F67" s="189" t="str">
        <f>IFERROR(INDEX(ПОКАЗАТЕЛИ!$A$6:$H$20,MATCH(1,INDEX((A67=ПОКАЗАТЕЛИ!$A$6:$A$20)*(C67=ПОКАЗАТЕЛИ!$C$6:$C$20)*(D67=ПОКАЗАТЕЛИ!$D$6:$D$20),),0),6),"")</f>
        <v/>
      </c>
      <c r="G67" s="170"/>
      <c r="H67" s="190">
        <f>IFERROR(INDEX(ПОКАЗАТЕЛИ!$A$21:$H$83,MATCH(1,INDEX((A67=ПОКАЗАТЕЛИ!$A$21:$A$83)*(C67=ПОКАЗАТЕЛИ!$C$21:$C$83)*(D67=ПОКАЗАТЕЛИ!$D$21:$D$83),),0),6),"")</f>
        <v>0</v>
      </c>
      <c r="I67" s="191" t="str">
        <f>IFERROR(INDEX(ПОКАЗАТЕЛИ!$A$84:$H$346,MATCH(1,INDEX((A67=ПОКАЗАТЕЛИ!$A$84:$A$346)*(C67=ПОКАЗАТЕЛИ!$C$84:$C$346)*(D67=ПОКАЗАТЕЛИ!$D$84:$D$346),),0),6),"")</f>
        <v/>
      </c>
      <c r="J67" s="119">
        <f>IFERROR(INDEX(ПОКАЗАТЕЛИ!$A$21:$H$83,MATCH(1,INDEX((A67=ПОКАЗАТЕЛИ!$A$21:$A$83)*(C67=ПОКАЗАТЕЛИ!$C$21:$C$83)*(D67=ПОКАЗАТЕЛИ!$D$21:$D$83),),0),7),"")</f>
        <v>0</v>
      </c>
      <c r="K67" s="172" t="str">
        <f>IFERROR(INDEX(ПОКАЗАТЕЛИ!$A$84:$H$346,MATCH(1,INDEX((A67=ПОКАЗАТЕЛИ!$A$84:$A$346)*(C67=ПОКАЗАТЕЛИ!$C$84:$C$346)*(D67=ПОКАЗАТЕЛИ!$D$84:$D$346),),0),7),"")</f>
        <v/>
      </c>
      <c r="L67" s="172">
        <f>IFERROR(INDEX(ПОКАЗАТЕЛИ!$A$21:$H$83,MATCH(1,INDEX((A67=ПОКАЗАТЕЛИ!$A$21:$A$83)*(C67=ПОКАЗАТЕЛИ!$C$21:$C$83)*(D67=ПОКАЗАТЕЛИ!$D$21:$D$83),),0),8),"")</f>
        <v>0</v>
      </c>
      <c r="M67" s="172" t="str">
        <f>IFERROR(INDEX(ПОКАЗАТЕЛИ!$A$84:$H$346,MATCH(1,INDEX((A67=ПОКАЗАТЕЛИ!$A$84:$A$346)*(C67=ПОКАЗАТЕЛИ!$C$84:$C$346)*(D67=ПОКАЗАТЕЛИ!$D$84:$D$346),),0),8),"")</f>
        <v/>
      </c>
    </row>
    <row r="68" spans="1:13" ht="15" customHeight="1" x14ac:dyDescent="0.25">
      <c r="A68" s="229" t="str">
        <v/>
      </c>
      <c r="B68" s="230" t="str">
        <v/>
      </c>
      <c r="C68" s="230" t="str">
        <v/>
      </c>
      <c r="D68" s="230" t="str">
        <v/>
      </c>
      <c r="E68" s="111"/>
      <c r="F68" s="189" t="str">
        <f>IFERROR(INDEX(ПОКАЗАТЕЛИ!$A$6:$H$20,MATCH(1,INDEX((A68=ПОКАЗАТЕЛИ!$A$6:$A$20)*(C68=ПОКАЗАТЕЛИ!$C$6:$C$20)*(D68=ПОКАЗАТЕЛИ!$D$6:$D$20),),0),6),"")</f>
        <v/>
      </c>
      <c r="G68" s="170"/>
      <c r="H68" s="190">
        <f>IFERROR(INDEX(ПОКАЗАТЕЛИ!$A$21:$H$83,MATCH(1,INDEX((A68=ПОКАЗАТЕЛИ!$A$21:$A$83)*(C68=ПОКАЗАТЕЛИ!$C$21:$C$83)*(D68=ПОКАЗАТЕЛИ!$D$21:$D$83),),0),6),"")</f>
        <v>0</v>
      </c>
      <c r="I68" s="191" t="str">
        <f>IFERROR(INDEX(ПОКАЗАТЕЛИ!$A$84:$H$346,MATCH(1,INDEX((A68=ПОКАЗАТЕЛИ!$A$84:$A$346)*(C68=ПОКАЗАТЕЛИ!$C$84:$C$346)*(D68=ПОКАЗАТЕЛИ!$D$84:$D$346),),0),6),"")</f>
        <v/>
      </c>
      <c r="J68" s="119">
        <f>IFERROR(INDEX(ПОКАЗАТЕЛИ!$A$21:$H$83,MATCH(1,INDEX((A68=ПОКАЗАТЕЛИ!$A$21:$A$83)*(C68=ПОКАЗАТЕЛИ!$C$21:$C$83)*(D68=ПОКАЗАТЕЛИ!$D$21:$D$83),),0),7),"")</f>
        <v>0</v>
      </c>
      <c r="K68" s="172" t="str">
        <f>IFERROR(INDEX(ПОКАЗАТЕЛИ!$A$84:$H$346,MATCH(1,INDEX((A68=ПОКАЗАТЕЛИ!$A$84:$A$346)*(C68=ПОКАЗАТЕЛИ!$C$84:$C$346)*(D68=ПОКАЗАТЕЛИ!$D$84:$D$346),),0),7),"")</f>
        <v/>
      </c>
      <c r="L68" s="172">
        <f>IFERROR(INDEX(ПОКАЗАТЕЛИ!$A$21:$H$83,MATCH(1,INDEX((A68=ПОКАЗАТЕЛИ!$A$21:$A$83)*(C68=ПОКАЗАТЕЛИ!$C$21:$C$83)*(D68=ПОКАЗАТЕЛИ!$D$21:$D$83),),0),8),"")</f>
        <v>0</v>
      </c>
      <c r="M68" s="172" t="str">
        <f>IFERROR(INDEX(ПОКАЗАТЕЛИ!$A$84:$H$346,MATCH(1,INDEX((A68=ПОКАЗАТЕЛИ!$A$84:$A$346)*(C68=ПОКАЗАТЕЛИ!$C$84:$C$346)*(D68=ПОКАЗАТЕЛИ!$D$84:$D$346),),0),8),"")</f>
        <v/>
      </c>
    </row>
    <row r="69" spans="1:13" ht="15" customHeight="1" x14ac:dyDescent="0.25">
      <c r="A69" s="229" t="str">
        <v/>
      </c>
      <c r="B69" s="230" t="str">
        <v/>
      </c>
      <c r="C69" s="230" t="str">
        <v/>
      </c>
      <c r="D69" s="230" t="str">
        <v/>
      </c>
      <c r="E69" s="111"/>
      <c r="F69" s="189" t="str">
        <f>IFERROR(INDEX(ПОКАЗАТЕЛИ!$A$6:$H$20,MATCH(1,INDEX((A69=ПОКАЗАТЕЛИ!$A$6:$A$20)*(C69=ПОКАЗАТЕЛИ!$C$6:$C$20)*(D69=ПОКАЗАТЕЛИ!$D$6:$D$20),),0),6),"")</f>
        <v/>
      </c>
      <c r="G69" s="170"/>
      <c r="H69" s="190">
        <f>IFERROR(INDEX(ПОКАЗАТЕЛИ!$A$21:$H$83,MATCH(1,INDEX((A69=ПОКАЗАТЕЛИ!$A$21:$A$83)*(C69=ПОКАЗАТЕЛИ!$C$21:$C$83)*(D69=ПОКАЗАТЕЛИ!$D$21:$D$83),),0),6),"")</f>
        <v>0</v>
      </c>
      <c r="I69" s="191" t="str">
        <f>IFERROR(INDEX(ПОКАЗАТЕЛИ!$A$84:$H$346,MATCH(1,INDEX((A69=ПОКАЗАТЕЛИ!$A$84:$A$346)*(C69=ПОКАЗАТЕЛИ!$C$84:$C$346)*(D69=ПОКАЗАТЕЛИ!$D$84:$D$346),),0),6),"")</f>
        <v/>
      </c>
      <c r="J69" s="119">
        <f>IFERROR(INDEX(ПОКАЗАТЕЛИ!$A$21:$H$83,MATCH(1,INDEX((A69=ПОКАЗАТЕЛИ!$A$21:$A$83)*(C69=ПОКАЗАТЕЛИ!$C$21:$C$83)*(D69=ПОКАЗАТЕЛИ!$D$21:$D$83),),0),7),"")</f>
        <v>0</v>
      </c>
      <c r="K69" s="172" t="str">
        <f>IFERROR(INDEX(ПОКАЗАТЕЛИ!$A$84:$H$346,MATCH(1,INDEX((A69=ПОКАЗАТЕЛИ!$A$84:$A$346)*(C69=ПОКАЗАТЕЛИ!$C$84:$C$346)*(D69=ПОКАЗАТЕЛИ!$D$84:$D$346),),0),7),"")</f>
        <v/>
      </c>
      <c r="L69" s="172">
        <f>IFERROR(INDEX(ПОКАЗАТЕЛИ!$A$21:$H$83,MATCH(1,INDEX((A69=ПОКАЗАТЕЛИ!$A$21:$A$83)*(C69=ПОКАЗАТЕЛИ!$C$21:$C$83)*(D69=ПОКАЗАТЕЛИ!$D$21:$D$83),),0),8),"")</f>
        <v>0</v>
      </c>
      <c r="M69" s="172" t="str">
        <f>IFERROR(INDEX(ПОКАЗАТЕЛИ!$A$84:$H$346,MATCH(1,INDEX((A69=ПОКАЗАТЕЛИ!$A$84:$A$346)*(C69=ПОКАЗАТЕЛИ!$C$84:$C$346)*(D69=ПОКАЗАТЕЛИ!$D$84:$D$346),),0),8),"")</f>
        <v/>
      </c>
    </row>
    <row r="70" spans="1:13" ht="15" customHeight="1" x14ac:dyDescent="0.25">
      <c r="A70" s="229" t="str">
        <v/>
      </c>
      <c r="B70" s="230" t="str">
        <v/>
      </c>
      <c r="C70" s="230" t="str">
        <v/>
      </c>
      <c r="D70" s="230" t="str">
        <v/>
      </c>
      <c r="E70" s="111"/>
      <c r="F70" s="189" t="str">
        <f>IFERROR(INDEX(ПОКАЗАТЕЛИ!$A$6:$H$20,MATCH(1,INDEX((A70=ПОКАЗАТЕЛИ!$A$6:$A$20)*(C70=ПОКАЗАТЕЛИ!$C$6:$C$20)*(D70=ПОКАЗАТЕЛИ!$D$6:$D$20),),0),6),"")</f>
        <v/>
      </c>
      <c r="G70" s="170"/>
      <c r="H70" s="190">
        <f>IFERROR(INDEX(ПОКАЗАТЕЛИ!$A$21:$H$83,MATCH(1,INDEX((A70=ПОКАЗАТЕЛИ!$A$21:$A$83)*(C70=ПОКАЗАТЕЛИ!$C$21:$C$83)*(D70=ПОКАЗАТЕЛИ!$D$21:$D$83),),0),6),"")</f>
        <v>0</v>
      </c>
      <c r="I70" s="191" t="str">
        <f>IFERROR(INDEX(ПОКАЗАТЕЛИ!$A$84:$H$346,MATCH(1,INDEX((A70=ПОКАЗАТЕЛИ!$A$84:$A$346)*(C70=ПОКАЗАТЕЛИ!$C$84:$C$346)*(D70=ПОКАЗАТЕЛИ!$D$84:$D$346),),0),6),"")</f>
        <v/>
      </c>
      <c r="J70" s="119">
        <f>IFERROR(INDEX(ПОКАЗАТЕЛИ!$A$21:$H$83,MATCH(1,INDEX((A70=ПОКАЗАТЕЛИ!$A$21:$A$83)*(C70=ПОКАЗАТЕЛИ!$C$21:$C$83)*(D70=ПОКАЗАТЕЛИ!$D$21:$D$83),),0),7),"")</f>
        <v>0</v>
      </c>
      <c r="K70" s="172" t="str">
        <f>IFERROR(INDEX(ПОКАЗАТЕЛИ!$A$84:$H$346,MATCH(1,INDEX((A70=ПОКАЗАТЕЛИ!$A$84:$A$346)*(C70=ПОКАЗАТЕЛИ!$C$84:$C$346)*(D70=ПОКАЗАТЕЛИ!$D$84:$D$346),),0),7),"")</f>
        <v/>
      </c>
      <c r="L70" s="172">
        <f>IFERROR(INDEX(ПОКАЗАТЕЛИ!$A$21:$H$83,MATCH(1,INDEX((A70=ПОКАЗАТЕЛИ!$A$21:$A$83)*(C70=ПОКАЗАТЕЛИ!$C$21:$C$83)*(D70=ПОКАЗАТЕЛИ!$D$21:$D$83),),0),8),"")</f>
        <v>0</v>
      </c>
      <c r="M70" s="172" t="str">
        <f>IFERROR(INDEX(ПОКАЗАТЕЛИ!$A$84:$H$346,MATCH(1,INDEX((A70=ПОКАЗАТЕЛИ!$A$84:$A$346)*(C70=ПОКАЗАТЕЛИ!$C$84:$C$346)*(D70=ПОКАЗАТЕЛИ!$D$84:$D$346),),0),8),"")</f>
        <v/>
      </c>
    </row>
    <row r="71" spans="1:13" ht="15" customHeight="1" x14ac:dyDescent="0.25">
      <c r="A71" s="229" t="str">
        <v/>
      </c>
      <c r="B71" s="230" t="str">
        <v/>
      </c>
      <c r="C71" s="230" t="str">
        <v/>
      </c>
      <c r="D71" s="230" t="str">
        <v/>
      </c>
      <c r="E71" s="111"/>
      <c r="F71" s="189" t="str">
        <f>IFERROR(INDEX(ПОКАЗАТЕЛИ!$A$6:$H$20,MATCH(1,INDEX((A71=ПОКАЗАТЕЛИ!$A$6:$A$20)*(C71=ПОКАЗАТЕЛИ!$C$6:$C$20)*(D71=ПОКАЗАТЕЛИ!$D$6:$D$20),),0),6),"")</f>
        <v/>
      </c>
      <c r="G71" s="170"/>
      <c r="H71" s="190">
        <f>IFERROR(INDEX(ПОКАЗАТЕЛИ!$A$21:$H$83,MATCH(1,INDEX((A71=ПОКАЗАТЕЛИ!$A$21:$A$83)*(C71=ПОКАЗАТЕЛИ!$C$21:$C$83)*(D71=ПОКАЗАТЕЛИ!$D$21:$D$83),),0),6),"")</f>
        <v>0</v>
      </c>
      <c r="I71" s="191" t="str">
        <f>IFERROR(INDEX(ПОКАЗАТЕЛИ!$A$84:$H$346,MATCH(1,INDEX((A71=ПОКАЗАТЕЛИ!$A$84:$A$346)*(C71=ПОКАЗАТЕЛИ!$C$84:$C$346)*(D71=ПОКАЗАТЕЛИ!$D$84:$D$346),),0),6),"")</f>
        <v/>
      </c>
      <c r="J71" s="119">
        <f>IFERROR(INDEX(ПОКАЗАТЕЛИ!$A$21:$H$83,MATCH(1,INDEX((A71=ПОКАЗАТЕЛИ!$A$21:$A$83)*(C71=ПОКАЗАТЕЛИ!$C$21:$C$83)*(D71=ПОКАЗАТЕЛИ!$D$21:$D$83),),0),7),"")</f>
        <v>0</v>
      </c>
      <c r="K71" s="172" t="str">
        <f>IFERROR(INDEX(ПОКАЗАТЕЛИ!$A$84:$H$346,MATCH(1,INDEX((A71=ПОКАЗАТЕЛИ!$A$84:$A$346)*(C71=ПОКАЗАТЕЛИ!$C$84:$C$346)*(D71=ПОКАЗАТЕЛИ!$D$84:$D$346),),0),7),"")</f>
        <v/>
      </c>
      <c r="L71" s="172">
        <f>IFERROR(INDEX(ПОКАЗАТЕЛИ!$A$21:$H$83,MATCH(1,INDEX((A71=ПОКАЗАТЕЛИ!$A$21:$A$83)*(C71=ПОКАЗАТЕЛИ!$C$21:$C$83)*(D71=ПОКАЗАТЕЛИ!$D$21:$D$83),),0),8),"")</f>
        <v>0</v>
      </c>
      <c r="M71" s="172" t="str">
        <f>IFERROR(INDEX(ПОКАЗАТЕЛИ!$A$84:$H$346,MATCH(1,INDEX((A71=ПОКАЗАТЕЛИ!$A$84:$A$346)*(C71=ПОКАЗАТЕЛИ!$C$84:$C$346)*(D71=ПОКАЗАТЕЛИ!$D$84:$D$346),),0),8),"")</f>
        <v/>
      </c>
    </row>
    <row r="72" spans="1:13" ht="15" customHeight="1" x14ac:dyDescent="0.25">
      <c r="A72" s="229" t="str">
        <v/>
      </c>
      <c r="B72" s="230" t="str">
        <v/>
      </c>
      <c r="C72" s="230" t="str">
        <v/>
      </c>
      <c r="D72" s="230" t="str">
        <v/>
      </c>
      <c r="E72" s="111"/>
      <c r="F72" s="189" t="str">
        <f>IFERROR(INDEX(ПОКАЗАТЕЛИ!$A$6:$H$20,MATCH(1,INDEX((A72=ПОКАЗАТЕЛИ!$A$6:$A$20)*(C72=ПОКАЗАТЕЛИ!$C$6:$C$20)*(D72=ПОКАЗАТЕЛИ!$D$6:$D$20),),0),6),"")</f>
        <v/>
      </c>
      <c r="G72" s="170"/>
      <c r="H72" s="190">
        <f>IFERROR(INDEX(ПОКАЗАТЕЛИ!$A$21:$H$83,MATCH(1,INDEX((A72=ПОКАЗАТЕЛИ!$A$21:$A$83)*(C72=ПОКАЗАТЕЛИ!$C$21:$C$83)*(D72=ПОКАЗАТЕЛИ!$D$21:$D$83),),0),6),"")</f>
        <v>0</v>
      </c>
      <c r="I72" s="191" t="str">
        <f>IFERROR(INDEX(ПОКАЗАТЕЛИ!$A$84:$H$346,MATCH(1,INDEX((A72=ПОКАЗАТЕЛИ!$A$84:$A$346)*(C72=ПОКАЗАТЕЛИ!$C$84:$C$346)*(D72=ПОКАЗАТЕЛИ!$D$84:$D$346),),0),6),"")</f>
        <v/>
      </c>
      <c r="J72" s="119">
        <f>IFERROR(INDEX(ПОКАЗАТЕЛИ!$A$21:$H$83,MATCH(1,INDEX((A72=ПОКАЗАТЕЛИ!$A$21:$A$83)*(C72=ПОКАЗАТЕЛИ!$C$21:$C$83)*(D72=ПОКАЗАТЕЛИ!$D$21:$D$83),),0),7),"")</f>
        <v>0</v>
      </c>
      <c r="K72" s="172" t="str">
        <f>IFERROR(INDEX(ПОКАЗАТЕЛИ!$A$84:$H$346,MATCH(1,INDEX((A72=ПОКАЗАТЕЛИ!$A$84:$A$346)*(C72=ПОКАЗАТЕЛИ!$C$84:$C$346)*(D72=ПОКАЗАТЕЛИ!$D$84:$D$346),),0),7),"")</f>
        <v/>
      </c>
      <c r="L72" s="172">
        <f>IFERROR(INDEX(ПОКАЗАТЕЛИ!$A$21:$H$83,MATCH(1,INDEX((A72=ПОКАЗАТЕЛИ!$A$21:$A$83)*(C72=ПОКАЗАТЕЛИ!$C$21:$C$83)*(D72=ПОКАЗАТЕЛИ!$D$21:$D$83),),0),8),"")</f>
        <v>0</v>
      </c>
      <c r="M72" s="172" t="str">
        <f>IFERROR(INDEX(ПОКАЗАТЕЛИ!$A$84:$H$346,MATCH(1,INDEX((A72=ПОКАЗАТЕЛИ!$A$84:$A$346)*(C72=ПОКАЗАТЕЛИ!$C$84:$C$346)*(D72=ПОКАЗАТЕЛИ!$D$84:$D$346),),0),8),"")</f>
        <v/>
      </c>
    </row>
    <row r="73" spans="1:13" ht="15" customHeight="1" x14ac:dyDescent="0.25">
      <c r="A73" s="229" t="str">
        <v/>
      </c>
      <c r="B73" s="230" t="str">
        <v/>
      </c>
      <c r="C73" s="230" t="str">
        <v/>
      </c>
      <c r="D73" s="230" t="str">
        <v/>
      </c>
      <c r="E73" s="111"/>
      <c r="F73" s="189" t="str">
        <f>IFERROR(INDEX(ПОКАЗАТЕЛИ!$A$6:$H$20,MATCH(1,INDEX((A73=ПОКАЗАТЕЛИ!$A$6:$A$20)*(C73=ПОКАЗАТЕЛИ!$C$6:$C$20)*(D73=ПОКАЗАТЕЛИ!$D$6:$D$20),),0),6),"")</f>
        <v/>
      </c>
      <c r="G73" s="313"/>
      <c r="H73" s="119">
        <f>IFERROR(INDEX(ПОКАЗАТЕЛИ!$A$21:$H$83,MATCH(1,INDEX((A73=ПОКАЗАТЕЛИ!$A$21:$A$83)*(C73=ПОКАЗАТЕЛИ!$C$21:$C$83)*(D73=ПОКАЗАТЕЛИ!$D$21:$D$83),),0),6),"")</f>
        <v>0</v>
      </c>
      <c r="I73" s="191" t="str">
        <f>IFERROR(INDEX(ПОКАЗАТЕЛИ!$A$84:$H$346,MATCH(1,INDEX((A73=ПОКАЗАТЕЛИ!$A$84:$A$346)*(C73=ПОКАЗАТЕЛИ!$C$84:$C$346)*(D73=ПОКАЗАТЕЛИ!$D$84:$D$346),),0),6),"")</f>
        <v/>
      </c>
      <c r="J73" s="119">
        <f>IFERROR(INDEX(ПОКАЗАТЕЛИ!$A$21:$H$83,MATCH(1,INDEX((A73=ПОКАЗАТЕЛИ!$A$21:$A$83)*(C73=ПОКАЗАТЕЛИ!$C$21:$C$83)*(D73=ПОКАЗАТЕЛИ!$D$21:$D$83),),0),7),"")</f>
        <v>0</v>
      </c>
      <c r="K73" s="172" t="str">
        <f>IFERROR(INDEX(ПОКАЗАТЕЛИ!$A$84:$H$346,MATCH(1,INDEX((A73=ПОКАЗАТЕЛИ!$A$84:$A$346)*(C73=ПОКАЗАТЕЛИ!$C$84:$C$346)*(D73=ПОКАЗАТЕЛИ!$D$84:$D$346),),0),7),"")</f>
        <v/>
      </c>
      <c r="L73" s="172">
        <f>IFERROR(INDEX(ПОКАЗАТЕЛИ!$A$21:$H$83,MATCH(1,INDEX((A73=ПОКАЗАТЕЛИ!$A$21:$A$83)*(C73=ПОКАЗАТЕЛИ!$C$21:$C$83)*(D73=ПОКАЗАТЕЛИ!$D$21:$D$83),),0),8),"")</f>
        <v>0</v>
      </c>
      <c r="M73" s="172" t="str">
        <f>IFERROR(INDEX(ПОКАЗАТЕЛИ!$A$84:$H$346,MATCH(1,INDEX((A73=ПОКАЗАТЕЛИ!$A$84:$A$346)*(C73=ПОКАЗАТЕЛИ!$C$84:$C$346)*(D73=ПОКАЗАТЕЛИ!$D$84:$D$346),),0),8),"")</f>
        <v/>
      </c>
    </row>
    <row r="74" spans="1:13" ht="15" customHeight="1" x14ac:dyDescent="0.25">
      <c r="A74" s="183" t="str">
        <v/>
      </c>
      <c r="B74" s="110" t="str">
        <v/>
      </c>
      <c r="C74" s="110" t="str">
        <v/>
      </c>
      <c r="D74" s="110" t="str">
        <v/>
      </c>
      <c r="E74" s="111"/>
      <c r="F74" s="189" t="str">
        <f>IFERROR(INDEX(ПОКАЗАТЕЛИ!$A$6:$H$20,MATCH(1,INDEX((A74=ПОКАЗАТЕЛИ!$A$6:$A$20)*(C74=ПОКАЗАТЕЛИ!$C$6:$C$20)*(D74=ПОКАЗАТЕЛИ!$D$6:$D$20),),0),6),"")</f>
        <v/>
      </c>
      <c r="G74" s="313"/>
      <c r="H74" s="119">
        <f>IFERROR(INDEX(ПОКАЗАТЕЛИ!$A$21:$H$83,MATCH(1,INDEX((A74=ПОКАЗАТЕЛИ!$A$21:$A$83)*(C74=ПОКАЗАТЕЛИ!$C$21:$C$83)*(D74=ПОКАЗАТЕЛИ!$D$21:$D$83),),0),6),"")</f>
        <v>0</v>
      </c>
      <c r="I74" s="191" t="str">
        <f>IFERROR(INDEX(ПОКАЗАТЕЛИ!$A$84:$H$346,MATCH(1,INDEX((A74=ПОКАЗАТЕЛИ!$A$84:$A$346)*(C74=ПОКАЗАТЕЛИ!$C$84:$C$346)*(D74=ПОКАЗАТЕЛИ!$D$84:$D$346),),0),6),"")</f>
        <v/>
      </c>
      <c r="J74" s="119">
        <f>IFERROR(INDEX(ПОКАЗАТЕЛИ!$A$21:$H$83,MATCH(1,INDEX((A74=ПОКАЗАТЕЛИ!$A$21:$A$83)*(C74=ПОКАЗАТЕЛИ!$C$21:$C$83)*(D74=ПОКАЗАТЕЛИ!$D$21:$D$83),),0),7),"")</f>
        <v>0</v>
      </c>
      <c r="K74" s="172" t="str">
        <f>IFERROR(INDEX(ПОКАЗАТЕЛИ!$A$84:$H$346,MATCH(1,INDEX((A74=ПОКАЗАТЕЛИ!$A$84:$A$346)*(C74=ПОКАЗАТЕЛИ!$C$84:$C$346)*(D74=ПОКАЗАТЕЛИ!$D$84:$D$346),),0),7),"")</f>
        <v/>
      </c>
      <c r="L74" s="172">
        <f>IFERROR(INDEX(ПОКАЗАТЕЛИ!$A$21:$H$83,MATCH(1,INDEX((A74=ПОКАЗАТЕЛИ!$A$21:$A$83)*(C74=ПОКАЗАТЕЛИ!$C$21:$C$83)*(D74=ПОКАЗАТЕЛИ!$D$21:$D$83),),0),8),"")</f>
        <v>0</v>
      </c>
      <c r="M74" s="172" t="str">
        <f>IFERROR(INDEX(ПОКАЗАТЕЛИ!$A$84:$H$346,MATCH(1,INDEX((A74=ПОКАЗАТЕЛИ!$A$84:$A$346)*(C74=ПОКАЗАТЕЛИ!$C$84:$C$346)*(D74=ПОКАЗАТЕЛИ!$D$84:$D$346),),0),8),"")</f>
        <v/>
      </c>
    </row>
    <row r="75" spans="1:13" ht="15" customHeight="1" x14ac:dyDescent="0.25">
      <c r="A75" s="183" t="str">
        <v/>
      </c>
      <c r="B75" s="110" t="str">
        <v/>
      </c>
      <c r="C75" s="110" t="str">
        <v/>
      </c>
      <c r="D75" s="110" t="str">
        <v/>
      </c>
      <c r="E75" s="111"/>
      <c r="F75" s="189" t="str">
        <f>IFERROR(INDEX(ПОКАЗАТЕЛИ!$A$6:$H$20,MATCH(1,INDEX((A75=ПОКАЗАТЕЛИ!$A$6:$A$20)*(C75=ПОКАЗАТЕЛИ!$C$6:$C$20)*(D75=ПОКАЗАТЕЛИ!$D$6:$D$20),),0),6),"")</f>
        <v/>
      </c>
      <c r="G75" s="313"/>
      <c r="H75" s="119">
        <f>IFERROR(INDEX(ПОКАЗАТЕЛИ!$A$21:$H$83,MATCH(1,INDEX((A75=ПОКАЗАТЕЛИ!$A$21:$A$83)*(C75=ПОКАЗАТЕЛИ!$C$21:$C$83)*(D75=ПОКАЗАТЕЛИ!$D$21:$D$83),),0),6),"")</f>
        <v>0</v>
      </c>
      <c r="I75" s="191" t="str">
        <f>IFERROR(INDEX(ПОКАЗАТЕЛИ!$A$84:$H$346,MATCH(1,INDEX((A75=ПОКАЗАТЕЛИ!$A$84:$A$346)*(C75=ПОКАЗАТЕЛИ!$C$84:$C$346)*(D75=ПОКАЗАТЕЛИ!$D$84:$D$346),),0),6),"")</f>
        <v/>
      </c>
      <c r="J75" s="119">
        <f>IFERROR(INDEX(ПОКАЗАТЕЛИ!$A$21:$H$83,MATCH(1,INDEX((A75=ПОКАЗАТЕЛИ!$A$21:$A$83)*(C75=ПОКАЗАТЕЛИ!$C$21:$C$83)*(D75=ПОКАЗАТЕЛИ!$D$21:$D$83),),0),7),"")</f>
        <v>0</v>
      </c>
      <c r="K75" s="172" t="str">
        <f>IFERROR(INDEX(ПОКАЗАТЕЛИ!$A$84:$H$346,MATCH(1,INDEX((A75=ПОКАЗАТЕЛИ!$A$84:$A$346)*(C75=ПОКАЗАТЕЛИ!$C$84:$C$346)*(D75=ПОКАЗАТЕЛИ!$D$84:$D$346),),0),7),"")</f>
        <v/>
      </c>
      <c r="L75" s="172">
        <f>IFERROR(INDEX(ПОКАЗАТЕЛИ!$A$21:$H$83,MATCH(1,INDEX((A75=ПОКАЗАТЕЛИ!$A$21:$A$83)*(C75=ПОКАЗАТЕЛИ!$C$21:$C$83)*(D75=ПОКАЗАТЕЛИ!$D$21:$D$83),),0),8),"")</f>
        <v>0</v>
      </c>
      <c r="M75" s="172" t="str">
        <f>IFERROR(INDEX(ПОКАЗАТЕЛИ!$A$84:$H$346,MATCH(1,INDEX((A75=ПОКАЗАТЕЛИ!$A$84:$A$346)*(C75=ПОКАЗАТЕЛИ!$C$84:$C$346)*(D75=ПОКАЗАТЕЛИ!$D$84:$D$346),),0),8),"")</f>
        <v/>
      </c>
    </row>
    <row r="76" spans="1:13" ht="15" customHeight="1" x14ac:dyDescent="0.25">
      <c r="A76" s="183" t="str">
        <v/>
      </c>
      <c r="B76" s="110" t="str">
        <v/>
      </c>
      <c r="C76" s="110" t="str">
        <v/>
      </c>
      <c r="D76" s="110" t="str">
        <v/>
      </c>
      <c r="E76" s="111"/>
      <c r="F76" s="189" t="str">
        <f>IFERROR(INDEX(ПОКАЗАТЕЛИ!$A$6:$H$20,MATCH(1,INDEX((A76=ПОКАЗАТЕЛИ!$A$6:$A$20)*(C76=ПОКАЗАТЕЛИ!$C$6:$C$20)*(D76=ПОКАЗАТЕЛИ!$D$6:$D$20),),0),6),"")</f>
        <v/>
      </c>
      <c r="G76" s="313"/>
      <c r="H76" s="119">
        <f>IFERROR(INDEX(ПОКАЗАТЕЛИ!$A$21:$H$83,MATCH(1,INDEX((A76=ПОКАЗАТЕЛИ!$A$21:$A$83)*(C76=ПОКАЗАТЕЛИ!$C$21:$C$83)*(D76=ПОКАЗАТЕЛИ!$D$21:$D$83),),0),6),"")</f>
        <v>0</v>
      </c>
      <c r="I76" s="191" t="str">
        <f>IFERROR(INDEX(ПОКАЗАТЕЛИ!$A$84:$H$346,MATCH(1,INDEX((A76=ПОКАЗАТЕЛИ!$A$84:$A$346)*(C76=ПОКАЗАТЕЛИ!$C$84:$C$346)*(D76=ПОКАЗАТЕЛИ!$D$84:$D$346),),0),6),"")</f>
        <v/>
      </c>
      <c r="J76" s="119">
        <f>IFERROR(INDEX(ПОКАЗАТЕЛИ!$A$21:$H$83,MATCH(1,INDEX((A76=ПОКАЗАТЕЛИ!$A$21:$A$83)*(C76=ПОКАЗАТЕЛИ!$C$21:$C$83)*(D76=ПОКАЗАТЕЛИ!$D$21:$D$83),),0),7),"")</f>
        <v>0</v>
      </c>
      <c r="K76" s="172" t="str">
        <f>IFERROR(INDEX(ПОКАЗАТЕЛИ!$A$84:$H$346,MATCH(1,INDEX((A76=ПОКАЗАТЕЛИ!$A$84:$A$346)*(C76=ПОКАЗАТЕЛИ!$C$84:$C$346)*(D76=ПОКАЗАТЕЛИ!$D$84:$D$346),),0),7),"")</f>
        <v/>
      </c>
      <c r="L76" s="172">
        <f>IFERROR(INDEX(ПОКАЗАТЕЛИ!$A$21:$H$83,MATCH(1,INDEX((A76=ПОКАЗАТЕЛИ!$A$21:$A$83)*(C76=ПОКАЗАТЕЛИ!$C$21:$C$83)*(D76=ПОКАЗАТЕЛИ!$D$21:$D$83),),0),8),"")</f>
        <v>0</v>
      </c>
      <c r="M76" s="172" t="str">
        <f>IFERROR(INDEX(ПОКАЗАТЕЛИ!$A$84:$H$346,MATCH(1,INDEX((A76=ПОКАЗАТЕЛИ!$A$84:$A$346)*(C76=ПОКАЗАТЕЛИ!$C$84:$C$346)*(D76=ПОКАЗАТЕЛИ!$D$84:$D$346),),0),8),"")</f>
        <v/>
      </c>
    </row>
    <row r="77" spans="1:13" ht="15" customHeight="1" x14ac:dyDescent="0.25">
      <c r="A77" s="183" t="str">
        <v/>
      </c>
      <c r="B77" s="110" t="str">
        <v/>
      </c>
      <c r="C77" s="110" t="str">
        <v/>
      </c>
      <c r="D77" s="110" t="str">
        <v/>
      </c>
      <c r="E77" s="111"/>
      <c r="F77" s="189" t="str">
        <f>IFERROR(INDEX(ПОКАЗАТЕЛИ!$A$6:$H$20,MATCH(1,INDEX((A77=ПОКАЗАТЕЛИ!$A$6:$A$20)*(C77=ПОКАЗАТЕЛИ!$C$6:$C$20)*(D77=ПОКАЗАТЕЛИ!$D$6:$D$20),),0),6),"")</f>
        <v/>
      </c>
      <c r="G77" s="313"/>
      <c r="H77" s="119">
        <f>IFERROR(INDEX(ПОКАЗАТЕЛИ!$A$21:$H$83,MATCH(1,INDEX((A77=ПОКАЗАТЕЛИ!$A$21:$A$83)*(C77=ПОКАЗАТЕЛИ!$C$21:$C$83)*(D77=ПОКАЗАТЕЛИ!$D$21:$D$83),),0),6),"")</f>
        <v>0</v>
      </c>
      <c r="I77" s="191" t="str">
        <f>IFERROR(INDEX(ПОКАЗАТЕЛИ!$A$84:$H$346,MATCH(1,INDEX((A77=ПОКАЗАТЕЛИ!$A$84:$A$346)*(C77=ПОКАЗАТЕЛИ!$C$84:$C$346)*(D77=ПОКАЗАТЕЛИ!$D$84:$D$346),),0),6),"")</f>
        <v/>
      </c>
      <c r="J77" s="119">
        <f>IFERROR(INDEX(ПОКАЗАТЕЛИ!$A$21:$H$83,MATCH(1,INDEX((A77=ПОКАЗАТЕЛИ!$A$21:$A$83)*(C77=ПОКАЗАТЕЛИ!$C$21:$C$83)*(D77=ПОКАЗАТЕЛИ!$D$21:$D$83),),0),7),"")</f>
        <v>0</v>
      </c>
      <c r="K77" s="172" t="str">
        <f>IFERROR(INDEX(ПОКАЗАТЕЛИ!$A$84:$H$346,MATCH(1,INDEX((A77=ПОКАЗАТЕЛИ!$A$84:$A$346)*(C77=ПОКАЗАТЕЛИ!$C$84:$C$346)*(D77=ПОКАЗАТЕЛИ!$D$84:$D$346),),0),7),"")</f>
        <v/>
      </c>
      <c r="L77" s="172">
        <f>IFERROR(INDEX(ПОКАЗАТЕЛИ!$A$21:$H$83,MATCH(1,INDEX((A77=ПОКАЗАТЕЛИ!$A$21:$A$83)*(C77=ПОКАЗАТЕЛИ!$C$21:$C$83)*(D77=ПОКАЗАТЕЛИ!$D$21:$D$83),),0),8),"")</f>
        <v>0</v>
      </c>
      <c r="M77" s="172" t="str">
        <f>IFERROR(INDEX(ПОКАЗАТЕЛИ!$A$84:$H$346,MATCH(1,INDEX((A77=ПОКАЗАТЕЛИ!$A$84:$A$346)*(C77=ПОКАЗАТЕЛИ!$C$84:$C$346)*(D77=ПОКАЗАТЕЛИ!$D$84:$D$346),),0),8),"")</f>
        <v/>
      </c>
    </row>
    <row r="78" spans="1:13" ht="15" customHeight="1" x14ac:dyDescent="0.25">
      <c r="A78" s="183" t="str">
        <v/>
      </c>
      <c r="B78" s="110" t="str">
        <v/>
      </c>
      <c r="C78" s="110" t="str">
        <v/>
      </c>
      <c r="D78" s="110" t="str">
        <v/>
      </c>
      <c r="E78" s="111"/>
      <c r="F78" s="189" t="str">
        <f>IFERROR(INDEX(ПОКАЗАТЕЛИ!$A$6:$H$20,MATCH(1,INDEX((A78=ПОКАЗАТЕЛИ!$A$6:$A$20)*(C78=ПОКАЗАТЕЛИ!$C$6:$C$20)*(D78=ПОКАЗАТЕЛИ!$D$6:$D$20),),0),6),"")</f>
        <v/>
      </c>
      <c r="G78" s="313"/>
      <c r="H78" s="119">
        <f>IFERROR(INDEX(ПОКАЗАТЕЛИ!$A$21:$H$83,MATCH(1,INDEX((A78=ПОКАЗАТЕЛИ!$A$21:$A$83)*(C78=ПОКАЗАТЕЛИ!$C$21:$C$83)*(D78=ПОКАЗАТЕЛИ!$D$21:$D$83),),0),6),"")</f>
        <v>0</v>
      </c>
      <c r="I78" s="191" t="str">
        <f>IFERROR(INDEX(ПОКАЗАТЕЛИ!$A$84:$H$346,MATCH(1,INDEX((A78=ПОКАЗАТЕЛИ!$A$84:$A$346)*(C78=ПОКАЗАТЕЛИ!$C$84:$C$346)*(D78=ПОКАЗАТЕЛИ!$D$84:$D$346),),0),6),"")</f>
        <v/>
      </c>
      <c r="J78" s="119">
        <f>IFERROR(INDEX(ПОКАЗАТЕЛИ!$A$21:$H$83,MATCH(1,INDEX((A78=ПОКАЗАТЕЛИ!$A$21:$A$83)*(C78=ПОКАЗАТЕЛИ!$C$21:$C$83)*(D78=ПОКАЗАТЕЛИ!$D$21:$D$83),),0),7),"")</f>
        <v>0</v>
      </c>
      <c r="K78" s="172" t="str">
        <f>IFERROR(INDEX(ПОКАЗАТЕЛИ!$A$84:$H$346,MATCH(1,INDEX((A78=ПОКАЗАТЕЛИ!$A$84:$A$346)*(C78=ПОКАЗАТЕЛИ!$C$84:$C$346)*(D78=ПОКАЗАТЕЛИ!$D$84:$D$346),),0),7),"")</f>
        <v/>
      </c>
      <c r="L78" s="172">
        <f>IFERROR(INDEX(ПОКАЗАТЕЛИ!$A$21:$H$83,MATCH(1,INDEX((A78=ПОКАЗАТЕЛИ!$A$21:$A$83)*(C78=ПОКАЗАТЕЛИ!$C$21:$C$83)*(D78=ПОКАЗАТЕЛИ!$D$21:$D$83),),0),8),"")</f>
        <v>0</v>
      </c>
      <c r="M78" s="172" t="str">
        <f>IFERROR(INDEX(ПОКАЗАТЕЛИ!$A$84:$H$346,MATCH(1,INDEX((A78=ПОКАЗАТЕЛИ!$A$84:$A$346)*(C78=ПОКАЗАТЕЛИ!$C$84:$C$346)*(D78=ПОКАЗАТЕЛИ!$D$84:$D$346),),0),8),"")</f>
        <v/>
      </c>
    </row>
    <row r="79" spans="1:13" ht="15" customHeight="1" x14ac:dyDescent="0.25">
      <c r="A79" s="183" t="str">
        <v/>
      </c>
      <c r="B79" s="110" t="str">
        <v/>
      </c>
      <c r="C79" s="110" t="str">
        <v/>
      </c>
      <c r="D79" s="110" t="str">
        <v/>
      </c>
      <c r="E79" s="111"/>
      <c r="F79" s="189" t="str">
        <f>IFERROR(INDEX(ПОКАЗАТЕЛИ!$A$6:$H$20,MATCH(1,INDEX((A79=ПОКАЗАТЕЛИ!$A$6:$A$20)*(C79=ПОКАЗАТЕЛИ!$C$6:$C$20)*(D79=ПОКАЗАТЕЛИ!$D$6:$D$20),),0),6),"")</f>
        <v/>
      </c>
      <c r="G79" s="313"/>
      <c r="H79" s="119">
        <f>IFERROR(INDEX(ПОКАЗАТЕЛИ!$A$21:$H$83,MATCH(1,INDEX((A79=ПОКАЗАТЕЛИ!$A$21:$A$83)*(C79=ПОКАЗАТЕЛИ!$C$21:$C$83)*(D79=ПОКАЗАТЕЛИ!$D$21:$D$83),),0),6),"")</f>
        <v>0</v>
      </c>
      <c r="I79" s="191" t="str">
        <f>IFERROR(INDEX(ПОКАЗАТЕЛИ!$A$84:$H$346,MATCH(1,INDEX((A79=ПОКАЗАТЕЛИ!$A$84:$A$346)*(C79=ПОКАЗАТЕЛИ!$C$84:$C$346)*(D79=ПОКАЗАТЕЛИ!$D$84:$D$346),),0),6),"")</f>
        <v/>
      </c>
      <c r="J79" s="119">
        <f>IFERROR(INDEX(ПОКАЗАТЕЛИ!$A$21:$H$83,MATCH(1,INDEX((A79=ПОКАЗАТЕЛИ!$A$21:$A$83)*(C79=ПОКАЗАТЕЛИ!$C$21:$C$83)*(D79=ПОКАЗАТЕЛИ!$D$21:$D$83),),0),7),"")</f>
        <v>0</v>
      </c>
      <c r="K79" s="172" t="str">
        <f>IFERROR(INDEX(ПОКАЗАТЕЛИ!$A$84:$H$346,MATCH(1,INDEX((A79=ПОКАЗАТЕЛИ!$A$84:$A$346)*(C79=ПОКАЗАТЕЛИ!$C$84:$C$346)*(D79=ПОКАЗАТЕЛИ!$D$84:$D$346),),0),7),"")</f>
        <v/>
      </c>
      <c r="L79" s="172">
        <f>IFERROR(INDEX(ПОКАЗАТЕЛИ!$A$21:$H$83,MATCH(1,INDEX((A79=ПОКАЗАТЕЛИ!$A$21:$A$83)*(C79=ПОКАЗАТЕЛИ!$C$21:$C$83)*(D79=ПОКАЗАТЕЛИ!$D$21:$D$83),),0),8),"")</f>
        <v>0</v>
      </c>
      <c r="M79" s="172" t="str">
        <f>IFERROR(INDEX(ПОКАЗАТЕЛИ!$A$84:$H$346,MATCH(1,INDEX((A79=ПОКАЗАТЕЛИ!$A$84:$A$346)*(C79=ПОКАЗАТЕЛИ!$C$84:$C$346)*(D79=ПОКАЗАТЕЛИ!$D$84:$D$346),),0),8),"")</f>
        <v/>
      </c>
    </row>
    <row r="80" spans="1:13" ht="15" customHeight="1" x14ac:dyDescent="0.25">
      <c r="A80" s="183" t="str">
        <v/>
      </c>
      <c r="B80" s="110" t="str">
        <v/>
      </c>
      <c r="C80" s="110" t="str">
        <v/>
      </c>
      <c r="D80" s="110" t="str">
        <v/>
      </c>
      <c r="E80" s="111"/>
      <c r="F80" s="189" t="str">
        <f>IFERROR(INDEX(ПОКАЗАТЕЛИ!$A$6:$H$20,MATCH(1,INDEX((A80=ПОКАЗАТЕЛИ!$A$6:$A$20)*(C80=ПОКАЗАТЕЛИ!$C$6:$C$20)*(D80=ПОКАЗАТЕЛИ!$D$6:$D$20),),0),6),"")</f>
        <v/>
      </c>
      <c r="G80" s="313"/>
      <c r="H80" s="119">
        <f>IFERROR(INDEX(ПОКАЗАТЕЛИ!$A$21:$H$83,MATCH(1,INDEX((A80=ПОКАЗАТЕЛИ!$A$21:$A$83)*(C80=ПОКАЗАТЕЛИ!$C$21:$C$83)*(D80=ПОКАЗАТЕЛИ!$D$21:$D$83),),0),6),"")</f>
        <v>0</v>
      </c>
      <c r="I80" s="191" t="str">
        <f>IFERROR(INDEX(ПОКАЗАТЕЛИ!$A$84:$H$346,MATCH(1,INDEX((A80=ПОКАЗАТЕЛИ!$A$84:$A$346)*(C80=ПОКАЗАТЕЛИ!$C$84:$C$346)*(D80=ПОКАЗАТЕЛИ!$D$84:$D$346),),0),6),"")</f>
        <v/>
      </c>
      <c r="J80" s="119">
        <f>IFERROR(INDEX(ПОКАЗАТЕЛИ!$A$21:$H$83,MATCH(1,INDEX((A80=ПОКАЗАТЕЛИ!$A$21:$A$83)*(C80=ПОКАЗАТЕЛИ!$C$21:$C$83)*(D80=ПОКАЗАТЕЛИ!$D$21:$D$83),),0),7),"")</f>
        <v>0</v>
      </c>
      <c r="K80" s="172" t="str">
        <f>IFERROR(INDEX(ПОКАЗАТЕЛИ!$A$84:$H$346,MATCH(1,INDEX((A80=ПОКАЗАТЕЛИ!$A$84:$A$346)*(C80=ПОКАЗАТЕЛИ!$C$84:$C$346)*(D80=ПОКАЗАТЕЛИ!$D$84:$D$346),),0),7),"")</f>
        <v/>
      </c>
      <c r="L80" s="172">
        <f>IFERROR(INDEX(ПОКАЗАТЕЛИ!$A$21:$H$83,MATCH(1,INDEX((A80=ПОКАЗАТЕЛИ!$A$21:$A$83)*(C80=ПОКАЗАТЕЛИ!$C$21:$C$83)*(D80=ПОКАЗАТЕЛИ!$D$21:$D$83),),0),8),"")</f>
        <v>0</v>
      </c>
      <c r="M80" s="172" t="str">
        <f>IFERROR(INDEX(ПОКАЗАТЕЛИ!$A$84:$H$346,MATCH(1,INDEX((A80=ПОКАЗАТЕЛИ!$A$84:$A$346)*(C80=ПОКАЗАТЕЛИ!$C$84:$C$346)*(D80=ПОКАЗАТЕЛИ!$D$84:$D$346),),0),8),"")</f>
        <v/>
      </c>
    </row>
    <row r="81" spans="1:13" ht="15" customHeight="1" x14ac:dyDescent="0.25">
      <c r="A81" s="183" t="str">
        <v/>
      </c>
      <c r="B81" s="110" t="str">
        <v/>
      </c>
      <c r="C81" s="110" t="str">
        <v/>
      </c>
      <c r="D81" s="110" t="str">
        <v/>
      </c>
      <c r="E81" s="111"/>
      <c r="F81" s="189" t="str">
        <f>IFERROR(INDEX(ПОКАЗАТЕЛИ!$A$6:$H$20,MATCH(1,INDEX((A81=ПОКАЗАТЕЛИ!$A$6:$A$20)*(C81=ПОКАЗАТЕЛИ!$C$6:$C$20)*(D81=ПОКАЗАТЕЛИ!$D$6:$D$20),),0),6),"")</f>
        <v/>
      </c>
      <c r="G81" s="313"/>
      <c r="H81" s="119">
        <f>IFERROR(INDEX(ПОКАЗАТЕЛИ!$A$21:$H$83,MATCH(1,INDEX((A81=ПОКАЗАТЕЛИ!$A$21:$A$83)*(C81=ПОКАЗАТЕЛИ!$C$21:$C$83)*(D81=ПОКАЗАТЕЛИ!$D$21:$D$83),),0),6),"")</f>
        <v>0</v>
      </c>
      <c r="I81" s="191" t="str">
        <f>IFERROR(INDEX(ПОКАЗАТЕЛИ!$A$84:$H$346,MATCH(1,INDEX((A81=ПОКАЗАТЕЛИ!$A$84:$A$346)*(C81=ПОКАЗАТЕЛИ!$C$84:$C$346)*(D81=ПОКАЗАТЕЛИ!$D$84:$D$346),),0),6),"")</f>
        <v/>
      </c>
      <c r="J81" s="119">
        <f>IFERROR(INDEX(ПОКАЗАТЕЛИ!$A$21:$H$83,MATCH(1,INDEX((A81=ПОКАЗАТЕЛИ!$A$21:$A$83)*(C81=ПОКАЗАТЕЛИ!$C$21:$C$83)*(D81=ПОКАЗАТЕЛИ!$D$21:$D$83),),0),7),"")</f>
        <v>0</v>
      </c>
      <c r="K81" s="172" t="str">
        <f>IFERROR(INDEX(ПОКАЗАТЕЛИ!$A$84:$H$346,MATCH(1,INDEX((A81=ПОКАЗАТЕЛИ!$A$84:$A$346)*(C81=ПОКАЗАТЕЛИ!$C$84:$C$346)*(D81=ПОКАЗАТЕЛИ!$D$84:$D$346),),0),7),"")</f>
        <v/>
      </c>
      <c r="L81" s="172">
        <f>IFERROR(INDEX(ПОКАЗАТЕЛИ!$A$21:$H$83,MATCH(1,INDEX((A81=ПОКАЗАТЕЛИ!$A$21:$A$83)*(C81=ПОКАЗАТЕЛИ!$C$21:$C$83)*(D81=ПОКАЗАТЕЛИ!$D$21:$D$83),),0),8),"")</f>
        <v>0</v>
      </c>
      <c r="M81" s="172" t="str">
        <f>IFERROR(INDEX(ПОКАЗАТЕЛИ!$A$84:$H$346,MATCH(1,INDEX((A81=ПОКАЗАТЕЛИ!$A$84:$A$346)*(C81=ПОКАЗАТЕЛИ!$C$84:$C$346)*(D81=ПОКАЗАТЕЛИ!$D$84:$D$346),),0),8),"")</f>
        <v/>
      </c>
    </row>
    <row r="82" spans="1:13" ht="15" customHeight="1" x14ac:dyDescent="0.25">
      <c r="A82" s="183" t="str">
        <v/>
      </c>
      <c r="B82" s="110" t="str">
        <v/>
      </c>
      <c r="C82" s="110" t="str">
        <v/>
      </c>
      <c r="D82" s="110" t="str">
        <v/>
      </c>
      <c r="E82" s="111"/>
      <c r="F82" s="189" t="str">
        <f>IFERROR(INDEX(ПОКАЗАТЕЛИ!$A$6:$H$20,MATCH(1,INDEX((A82=ПОКАЗАТЕЛИ!$A$6:$A$20)*(C82=ПОКАЗАТЕЛИ!$C$6:$C$20)*(D82=ПОКАЗАТЕЛИ!$D$6:$D$20),),0),6),"")</f>
        <v/>
      </c>
      <c r="G82" s="313"/>
      <c r="H82" s="119">
        <f>IFERROR(INDEX(ПОКАЗАТЕЛИ!$A$21:$H$83,MATCH(1,INDEX((A82=ПОКАЗАТЕЛИ!$A$21:$A$83)*(C82=ПОКАЗАТЕЛИ!$C$21:$C$83)*(D82=ПОКАЗАТЕЛИ!$D$21:$D$83),),0),6),"")</f>
        <v>0</v>
      </c>
      <c r="I82" s="191" t="str">
        <f>IFERROR(INDEX(ПОКАЗАТЕЛИ!$A$84:$H$346,MATCH(1,INDEX((A82=ПОКАЗАТЕЛИ!$A$84:$A$346)*(C82=ПОКАЗАТЕЛИ!$C$84:$C$346)*(D82=ПОКАЗАТЕЛИ!$D$84:$D$346),),0),6),"")</f>
        <v/>
      </c>
      <c r="J82" s="119">
        <f>IFERROR(INDEX(ПОКАЗАТЕЛИ!$A$21:$H$83,MATCH(1,INDEX((A82=ПОКАЗАТЕЛИ!$A$21:$A$83)*(C82=ПОКАЗАТЕЛИ!$C$21:$C$83)*(D82=ПОКАЗАТЕЛИ!$D$21:$D$83),),0),7),"")</f>
        <v>0</v>
      </c>
      <c r="K82" s="172" t="str">
        <f>IFERROR(INDEX(ПОКАЗАТЕЛИ!$A$84:$H$346,MATCH(1,INDEX((A82=ПОКАЗАТЕЛИ!$A$84:$A$346)*(C82=ПОКАЗАТЕЛИ!$C$84:$C$346)*(D82=ПОКАЗАТЕЛИ!$D$84:$D$346),),0),7),"")</f>
        <v/>
      </c>
      <c r="L82" s="172">
        <f>IFERROR(INDEX(ПОКАЗАТЕЛИ!$A$21:$H$83,MATCH(1,INDEX((A82=ПОКАЗАТЕЛИ!$A$21:$A$83)*(C82=ПОКАЗАТЕЛИ!$C$21:$C$83)*(D82=ПОКАЗАТЕЛИ!$D$21:$D$83),),0),8),"")</f>
        <v>0</v>
      </c>
      <c r="M82" s="172" t="str">
        <f>IFERROR(INDEX(ПОКАЗАТЕЛИ!$A$84:$H$346,MATCH(1,INDEX((A82=ПОКАЗАТЕЛИ!$A$84:$A$346)*(C82=ПОКАЗАТЕЛИ!$C$84:$C$346)*(D82=ПОКАЗАТЕЛИ!$D$84:$D$346),),0),8),"")</f>
        <v/>
      </c>
    </row>
    <row r="83" spans="1:13" ht="15" customHeight="1" x14ac:dyDescent="0.25">
      <c r="A83" s="183" t="str">
        <v/>
      </c>
      <c r="B83" s="110" t="str">
        <v/>
      </c>
      <c r="C83" s="110" t="str">
        <v/>
      </c>
      <c r="D83" s="110" t="str">
        <v/>
      </c>
      <c r="E83" s="111"/>
      <c r="F83" s="189" t="str">
        <f>IFERROR(INDEX(ПОКАЗАТЕЛИ!$A$6:$H$20,MATCH(1,INDEX((A83=ПОКАЗАТЕЛИ!$A$6:$A$20)*(C83=ПОКАЗАТЕЛИ!$C$6:$C$20)*(D83=ПОКАЗАТЕЛИ!$D$6:$D$20),),0),6),"")</f>
        <v/>
      </c>
      <c r="G83" s="313"/>
      <c r="H83" s="119">
        <f>IFERROR(INDEX(ПОКАЗАТЕЛИ!$A$21:$H$83,MATCH(1,INDEX((A83=ПОКАЗАТЕЛИ!$A$21:$A$83)*(C83=ПОКАЗАТЕЛИ!$C$21:$C$83)*(D83=ПОКАЗАТЕЛИ!$D$21:$D$83),),0),6),"")</f>
        <v>0</v>
      </c>
      <c r="I83" s="191" t="str">
        <f>IFERROR(INDEX(ПОКАЗАТЕЛИ!$A$84:$H$346,MATCH(1,INDEX((A83=ПОКАЗАТЕЛИ!$A$84:$A$346)*(C83=ПОКАЗАТЕЛИ!$C$84:$C$346)*(D83=ПОКАЗАТЕЛИ!$D$84:$D$346),),0),6),"")</f>
        <v/>
      </c>
      <c r="J83" s="119">
        <f>IFERROR(INDEX(ПОКАЗАТЕЛИ!$A$21:$H$83,MATCH(1,INDEX((A83=ПОКАЗАТЕЛИ!$A$21:$A$83)*(C83=ПОКАЗАТЕЛИ!$C$21:$C$83)*(D83=ПОКАЗАТЕЛИ!$D$21:$D$83),),0),7),"")</f>
        <v>0</v>
      </c>
      <c r="K83" s="172" t="str">
        <f>IFERROR(INDEX(ПОКАЗАТЕЛИ!$A$84:$H$346,MATCH(1,INDEX((A83=ПОКАЗАТЕЛИ!$A$84:$A$346)*(C83=ПОКАЗАТЕЛИ!$C$84:$C$346)*(D83=ПОКАЗАТЕЛИ!$D$84:$D$346),),0),7),"")</f>
        <v/>
      </c>
      <c r="L83" s="172">
        <f>IFERROR(INDEX(ПОКАЗАТЕЛИ!$A$21:$H$83,MATCH(1,INDEX((A83=ПОКАЗАТЕЛИ!$A$21:$A$83)*(C83=ПОКАЗАТЕЛИ!$C$21:$C$83)*(D83=ПОКАЗАТЕЛИ!$D$21:$D$83),),0),8),"")</f>
        <v>0</v>
      </c>
      <c r="M83" s="172" t="str">
        <f>IFERROR(INDEX(ПОКАЗАТЕЛИ!$A$84:$H$346,MATCH(1,INDEX((A83=ПОКАЗАТЕЛИ!$A$84:$A$346)*(C83=ПОКАЗАТЕЛИ!$C$84:$C$346)*(D83=ПОКАЗАТЕЛИ!$D$84:$D$346),),0),8),"")</f>
        <v/>
      </c>
    </row>
    <row r="84" spans="1:13" ht="15" customHeight="1" x14ac:dyDescent="0.25">
      <c r="A84" s="183" t="str">
        <v/>
      </c>
      <c r="B84" s="110" t="str">
        <v/>
      </c>
      <c r="C84" s="110" t="str">
        <v/>
      </c>
      <c r="D84" s="110" t="str">
        <v/>
      </c>
      <c r="E84" s="111"/>
      <c r="F84" s="189" t="str">
        <f>IFERROR(INDEX(ПОКАЗАТЕЛИ!$A$6:$H$20,MATCH(1,INDEX((A84=ПОКАЗАТЕЛИ!$A$6:$A$20)*(C84=ПОКАЗАТЕЛИ!$C$6:$C$20)*(D84=ПОКАЗАТЕЛИ!$D$6:$D$20),),0),6),"")</f>
        <v/>
      </c>
      <c r="G84" s="313"/>
      <c r="H84" s="119">
        <f>IFERROR(INDEX(ПОКАЗАТЕЛИ!$A$21:$H$83,MATCH(1,INDEX((A84=ПОКАЗАТЕЛИ!$A$21:$A$83)*(C84=ПОКАЗАТЕЛИ!$C$21:$C$83)*(D84=ПОКАЗАТЕЛИ!$D$21:$D$83),),0),6),"")</f>
        <v>0</v>
      </c>
      <c r="I84" s="191" t="str">
        <f>IFERROR(INDEX(ПОКАЗАТЕЛИ!$A$84:$H$346,MATCH(1,INDEX((A84=ПОКАЗАТЕЛИ!$A$84:$A$346)*(C84=ПОКАЗАТЕЛИ!$C$84:$C$346)*(D84=ПОКАЗАТЕЛИ!$D$84:$D$346),),0),6),"")</f>
        <v/>
      </c>
      <c r="J84" s="119">
        <f>IFERROR(INDEX(ПОКАЗАТЕЛИ!$A$21:$H$83,MATCH(1,INDEX((A84=ПОКАЗАТЕЛИ!$A$21:$A$83)*(C84=ПОКАЗАТЕЛИ!$C$21:$C$83)*(D84=ПОКАЗАТЕЛИ!$D$21:$D$83),),0),7),"")</f>
        <v>0</v>
      </c>
      <c r="K84" s="172" t="str">
        <f>IFERROR(INDEX(ПОКАЗАТЕЛИ!$A$84:$H$346,MATCH(1,INDEX((A84=ПОКАЗАТЕЛИ!$A$84:$A$346)*(C84=ПОКАЗАТЕЛИ!$C$84:$C$346)*(D84=ПОКАЗАТЕЛИ!$D$84:$D$346),),0),7),"")</f>
        <v/>
      </c>
      <c r="L84" s="172">
        <f>IFERROR(INDEX(ПОКАЗАТЕЛИ!$A$21:$H$83,MATCH(1,INDEX((A84=ПОКАЗАТЕЛИ!$A$21:$A$83)*(C84=ПОКАЗАТЕЛИ!$C$21:$C$83)*(D84=ПОКАЗАТЕЛИ!$D$21:$D$83),),0),8),"")</f>
        <v>0</v>
      </c>
      <c r="M84" s="172" t="str">
        <f>IFERROR(INDEX(ПОКАЗАТЕЛИ!$A$84:$H$346,MATCH(1,INDEX((A84=ПОКАЗАТЕЛИ!$A$84:$A$346)*(C84=ПОКАЗАТЕЛИ!$C$84:$C$346)*(D84=ПОКАЗАТЕЛИ!$D$84:$D$346),),0),8),"")</f>
        <v/>
      </c>
    </row>
    <row r="85" spans="1:13" ht="15" customHeight="1" x14ac:dyDescent="0.25">
      <c r="A85" s="183" t="str">
        <v/>
      </c>
      <c r="B85" s="110" t="str">
        <v/>
      </c>
      <c r="C85" s="110" t="str">
        <v/>
      </c>
      <c r="D85" s="110" t="str">
        <v/>
      </c>
      <c r="E85" s="111"/>
      <c r="F85" s="189" t="str">
        <f>IFERROR(INDEX(ПОКАЗАТЕЛИ!$A$6:$H$20,MATCH(1,INDEX((A85=ПОКАЗАТЕЛИ!$A$6:$A$20)*(C85=ПОКАЗАТЕЛИ!$C$6:$C$20)*(D85=ПОКАЗАТЕЛИ!$D$6:$D$20),),0),6),"")</f>
        <v/>
      </c>
      <c r="G85" s="313"/>
      <c r="H85" s="119">
        <f>IFERROR(INDEX(ПОКАЗАТЕЛИ!$A$21:$H$83,MATCH(1,INDEX((A85=ПОКАЗАТЕЛИ!$A$21:$A$83)*(C85=ПОКАЗАТЕЛИ!$C$21:$C$83)*(D85=ПОКАЗАТЕЛИ!$D$21:$D$83),),0),6),"")</f>
        <v>0</v>
      </c>
      <c r="I85" s="191" t="str">
        <f>IFERROR(INDEX(ПОКАЗАТЕЛИ!$A$84:$H$346,MATCH(1,INDEX((A85=ПОКАЗАТЕЛИ!$A$84:$A$346)*(C85=ПОКАЗАТЕЛИ!$C$84:$C$346)*(D85=ПОКАЗАТЕЛИ!$D$84:$D$346),),0),6),"")</f>
        <v/>
      </c>
      <c r="J85" s="119">
        <f>IFERROR(INDEX(ПОКАЗАТЕЛИ!$A$21:$H$83,MATCH(1,INDEX((A85=ПОКАЗАТЕЛИ!$A$21:$A$83)*(C85=ПОКАЗАТЕЛИ!$C$21:$C$83)*(D85=ПОКАЗАТЕЛИ!$D$21:$D$83),),0),7),"")</f>
        <v>0</v>
      </c>
      <c r="K85" s="172" t="str">
        <f>IFERROR(INDEX(ПОКАЗАТЕЛИ!$A$84:$H$346,MATCH(1,INDEX((A85=ПОКАЗАТЕЛИ!$A$84:$A$346)*(C85=ПОКАЗАТЕЛИ!$C$84:$C$346)*(D85=ПОКАЗАТЕЛИ!$D$84:$D$346),),0),7),"")</f>
        <v/>
      </c>
      <c r="L85" s="172">
        <f>IFERROR(INDEX(ПОКАЗАТЕЛИ!$A$21:$H$83,MATCH(1,INDEX((A85=ПОКАЗАТЕЛИ!$A$21:$A$83)*(C85=ПОКАЗАТЕЛИ!$C$21:$C$83)*(D85=ПОКАЗАТЕЛИ!$D$21:$D$83),),0),8),"")</f>
        <v>0</v>
      </c>
      <c r="M85" s="172" t="str">
        <f>IFERROR(INDEX(ПОКАЗАТЕЛИ!$A$84:$H$346,MATCH(1,INDEX((A85=ПОКАЗАТЕЛИ!$A$84:$A$346)*(C85=ПОКАЗАТЕЛИ!$C$84:$C$346)*(D85=ПОКАЗАТЕЛИ!$D$84:$D$346),),0),8),"")</f>
        <v/>
      </c>
    </row>
    <row r="86" spans="1:13" ht="15" customHeight="1" x14ac:dyDescent="0.25">
      <c r="A86" s="183" t="str">
        <v/>
      </c>
      <c r="B86" s="110" t="str">
        <v/>
      </c>
      <c r="C86" s="110" t="str">
        <v/>
      </c>
      <c r="D86" s="110" t="str">
        <v/>
      </c>
      <c r="E86" s="111"/>
      <c r="F86" s="189" t="str">
        <f>IFERROR(INDEX(ПОКАЗАТЕЛИ!$A$6:$H$20,MATCH(1,INDEX((A86=ПОКАЗАТЕЛИ!$A$6:$A$20)*(C86=ПОКАЗАТЕЛИ!$C$6:$C$20)*(D86=ПОКАЗАТЕЛИ!$D$6:$D$20),),0),6),"")</f>
        <v/>
      </c>
      <c r="G86" s="313"/>
      <c r="H86" s="119">
        <f>IFERROR(INDEX(ПОКАЗАТЕЛИ!$A$21:$H$83,MATCH(1,INDEX((A86=ПОКАЗАТЕЛИ!$A$21:$A$83)*(C86=ПОКАЗАТЕЛИ!$C$21:$C$83)*(D86=ПОКАЗАТЕЛИ!$D$21:$D$83),),0),6),"")</f>
        <v>0</v>
      </c>
      <c r="I86" s="191" t="str">
        <f>IFERROR(INDEX(ПОКАЗАТЕЛИ!$A$84:$H$346,MATCH(1,INDEX((A86=ПОКАЗАТЕЛИ!$A$84:$A$346)*(C86=ПОКАЗАТЕЛИ!$C$84:$C$346)*(D86=ПОКАЗАТЕЛИ!$D$84:$D$346),),0),6),"")</f>
        <v/>
      </c>
      <c r="J86" s="119">
        <f>IFERROR(INDEX(ПОКАЗАТЕЛИ!$A$21:$H$83,MATCH(1,INDEX((A86=ПОКАЗАТЕЛИ!$A$21:$A$83)*(C86=ПОКАЗАТЕЛИ!$C$21:$C$83)*(D86=ПОКАЗАТЕЛИ!$D$21:$D$83),),0),7),"")</f>
        <v>0</v>
      </c>
      <c r="K86" s="172" t="str">
        <f>IFERROR(INDEX(ПОКАЗАТЕЛИ!$A$84:$H$346,MATCH(1,INDEX((A86=ПОКАЗАТЕЛИ!$A$84:$A$346)*(C86=ПОКАЗАТЕЛИ!$C$84:$C$346)*(D86=ПОКАЗАТЕЛИ!$D$84:$D$346),),0),7),"")</f>
        <v/>
      </c>
      <c r="L86" s="172">
        <f>IFERROR(INDEX(ПОКАЗАТЕЛИ!$A$21:$H$83,MATCH(1,INDEX((A86=ПОКАЗАТЕЛИ!$A$21:$A$83)*(C86=ПОКАЗАТЕЛИ!$C$21:$C$83)*(D86=ПОКАЗАТЕЛИ!$D$21:$D$83),),0),8),"")</f>
        <v>0</v>
      </c>
      <c r="M86" s="172" t="str">
        <f>IFERROR(INDEX(ПОКАЗАТЕЛИ!$A$84:$H$346,MATCH(1,INDEX((A86=ПОКАЗАТЕЛИ!$A$84:$A$346)*(C86=ПОКАЗАТЕЛИ!$C$84:$C$346)*(D86=ПОКАЗАТЕЛИ!$D$84:$D$346),),0),8),"")</f>
        <v/>
      </c>
    </row>
    <row r="87" spans="1:13" ht="15" customHeight="1" x14ac:dyDescent="0.25">
      <c r="A87" s="183" t="str">
        <v/>
      </c>
      <c r="B87" s="110" t="str">
        <v/>
      </c>
      <c r="C87" s="110" t="str">
        <v/>
      </c>
      <c r="D87" s="110" t="str">
        <v/>
      </c>
      <c r="E87" s="111"/>
      <c r="F87" s="189" t="str">
        <f>IFERROR(INDEX(ПОКАЗАТЕЛИ!$A$6:$H$20,MATCH(1,INDEX((A87=ПОКАЗАТЕЛИ!$A$6:$A$20)*(C87=ПОКАЗАТЕЛИ!$C$6:$C$20)*(D87=ПОКАЗАТЕЛИ!$D$6:$D$20),),0),6),"")</f>
        <v/>
      </c>
      <c r="G87" s="313"/>
      <c r="H87" s="119">
        <f>IFERROR(INDEX(ПОКАЗАТЕЛИ!$A$21:$H$83,MATCH(1,INDEX((A87=ПОКАЗАТЕЛИ!$A$21:$A$83)*(C87=ПОКАЗАТЕЛИ!$C$21:$C$83)*(D87=ПОКАЗАТЕЛИ!$D$21:$D$83),),0),6),"")</f>
        <v>0</v>
      </c>
      <c r="I87" s="191" t="str">
        <f>IFERROR(INDEX(ПОКАЗАТЕЛИ!$A$84:$H$346,MATCH(1,INDEX((A87=ПОКАЗАТЕЛИ!$A$84:$A$346)*(C87=ПОКАЗАТЕЛИ!$C$84:$C$346)*(D87=ПОКАЗАТЕЛИ!$D$84:$D$346),),0),6),"")</f>
        <v/>
      </c>
      <c r="J87" s="119">
        <f>IFERROR(INDEX(ПОКАЗАТЕЛИ!$A$21:$H$83,MATCH(1,INDEX((A87=ПОКАЗАТЕЛИ!$A$21:$A$83)*(C87=ПОКАЗАТЕЛИ!$C$21:$C$83)*(D87=ПОКАЗАТЕЛИ!$D$21:$D$83),),0),7),"")</f>
        <v>0</v>
      </c>
      <c r="K87" s="172" t="str">
        <f>IFERROR(INDEX(ПОКАЗАТЕЛИ!$A$84:$H$346,MATCH(1,INDEX((A87=ПОКАЗАТЕЛИ!$A$84:$A$346)*(C87=ПОКАЗАТЕЛИ!$C$84:$C$346)*(D87=ПОКАЗАТЕЛИ!$D$84:$D$346),),0),7),"")</f>
        <v/>
      </c>
      <c r="L87" s="172">
        <f>IFERROR(INDEX(ПОКАЗАТЕЛИ!$A$21:$H$83,MATCH(1,INDEX((A87=ПОКАЗАТЕЛИ!$A$21:$A$83)*(C87=ПОКАЗАТЕЛИ!$C$21:$C$83)*(D87=ПОКАЗАТЕЛИ!$D$21:$D$83),),0),8),"")</f>
        <v>0</v>
      </c>
      <c r="M87" s="172" t="str">
        <f>IFERROR(INDEX(ПОКАЗАТЕЛИ!$A$84:$H$346,MATCH(1,INDEX((A87=ПОКАЗАТЕЛИ!$A$84:$A$346)*(C87=ПОКАЗАТЕЛИ!$C$84:$C$346)*(D87=ПОКАЗАТЕЛИ!$D$84:$D$346),),0),8),"")</f>
        <v/>
      </c>
    </row>
    <row r="88" spans="1:13" ht="15" customHeight="1" x14ac:dyDescent="0.25">
      <c r="A88" s="183" t="str">
        <v/>
      </c>
      <c r="B88" s="110" t="str">
        <v/>
      </c>
      <c r="C88" s="110" t="str">
        <v/>
      </c>
      <c r="D88" s="110" t="str">
        <v/>
      </c>
      <c r="E88" s="111"/>
      <c r="F88" s="189" t="str">
        <f>IFERROR(INDEX(ПОКАЗАТЕЛИ!$A$6:$H$20,MATCH(1,INDEX((A88=ПОКАЗАТЕЛИ!$A$6:$A$20)*(C88=ПОКАЗАТЕЛИ!$C$6:$C$20)*(D88=ПОКАЗАТЕЛИ!$D$6:$D$20),),0),6),"")</f>
        <v/>
      </c>
      <c r="G88" s="313"/>
      <c r="H88" s="119">
        <f>IFERROR(INDEX(ПОКАЗАТЕЛИ!$A$21:$H$83,MATCH(1,INDEX((A88=ПОКАЗАТЕЛИ!$A$21:$A$83)*(C88=ПОКАЗАТЕЛИ!$C$21:$C$83)*(D88=ПОКАЗАТЕЛИ!$D$21:$D$83),),0),6),"")</f>
        <v>0</v>
      </c>
      <c r="I88" s="191" t="str">
        <f>IFERROR(INDEX(ПОКАЗАТЕЛИ!$A$84:$H$346,MATCH(1,INDEX((A88=ПОКАЗАТЕЛИ!$A$84:$A$346)*(C88=ПОКАЗАТЕЛИ!$C$84:$C$346)*(D88=ПОКАЗАТЕЛИ!$D$84:$D$346),),0),6),"")</f>
        <v/>
      </c>
      <c r="J88" s="119">
        <f>IFERROR(INDEX(ПОКАЗАТЕЛИ!$A$21:$H$83,MATCH(1,INDEX((A88=ПОКАЗАТЕЛИ!$A$21:$A$83)*(C88=ПОКАЗАТЕЛИ!$C$21:$C$83)*(D88=ПОКАЗАТЕЛИ!$D$21:$D$83),),0),7),"")</f>
        <v>0</v>
      </c>
      <c r="K88" s="172" t="str">
        <f>IFERROR(INDEX(ПОКАЗАТЕЛИ!$A$84:$H$346,MATCH(1,INDEX((A88=ПОКАЗАТЕЛИ!$A$84:$A$346)*(C88=ПОКАЗАТЕЛИ!$C$84:$C$346)*(D88=ПОКАЗАТЕЛИ!$D$84:$D$346),),0),7),"")</f>
        <v/>
      </c>
      <c r="L88" s="172">
        <f>IFERROR(INDEX(ПОКАЗАТЕЛИ!$A$21:$H$83,MATCH(1,INDEX((A88=ПОКАЗАТЕЛИ!$A$21:$A$83)*(C88=ПОКАЗАТЕЛИ!$C$21:$C$83)*(D88=ПОКАЗАТЕЛИ!$D$21:$D$83),),0),8),"")</f>
        <v>0</v>
      </c>
      <c r="M88" s="172" t="str">
        <f>IFERROR(INDEX(ПОКАЗАТЕЛИ!$A$84:$H$346,MATCH(1,INDEX((A88=ПОКАЗАТЕЛИ!$A$84:$A$346)*(C88=ПОКАЗАТЕЛИ!$C$84:$C$346)*(D88=ПОКАЗАТЕЛИ!$D$84:$D$346),),0),8),"")</f>
        <v/>
      </c>
    </row>
    <row r="89" spans="1:13" ht="15" customHeight="1" x14ac:dyDescent="0.25">
      <c r="A89" s="183" t="str">
        <v/>
      </c>
      <c r="B89" s="110" t="str">
        <v/>
      </c>
      <c r="C89" s="110" t="str">
        <v/>
      </c>
      <c r="D89" s="110" t="str">
        <v/>
      </c>
      <c r="E89" s="111"/>
      <c r="F89" s="189" t="str">
        <f>IFERROR(INDEX(ПОКАЗАТЕЛИ!$A$6:$H$20,MATCH(1,INDEX((A89=ПОКАЗАТЕЛИ!$A$6:$A$20)*(C89=ПОКАЗАТЕЛИ!$C$6:$C$20)*(D89=ПОКАЗАТЕЛИ!$D$6:$D$20),),0),6),"")</f>
        <v/>
      </c>
      <c r="G89" s="313"/>
      <c r="H89" s="119">
        <f>IFERROR(INDEX(ПОКАЗАТЕЛИ!$A$21:$H$83,MATCH(1,INDEX((A89=ПОКАЗАТЕЛИ!$A$21:$A$83)*(C89=ПОКАЗАТЕЛИ!$C$21:$C$83)*(D89=ПОКАЗАТЕЛИ!$D$21:$D$83),),0),6),"")</f>
        <v>0</v>
      </c>
      <c r="I89" s="191" t="str">
        <f>IFERROR(INDEX(ПОКАЗАТЕЛИ!$A$84:$H$346,MATCH(1,INDEX((A89=ПОКАЗАТЕЛИ!$A$84:$A$346)*(C89=ПОКАЗАТЕЛИ!$C$84:$C$346)*(D89=ПОКАЗАТЕЛИ!$D$84:$D$346),),0),6),"")</f>
        <v/>
      </c>
      <c r="J89" s="119">
        <f>IFERROR(INDEX(ПОКАЗАТЕЛИ!$A$21:$H$83,MATCH(1,INDEX((A89=ПОКАЗАТЕЛИ!$A$21:$A$83)*(C89=ПОКАЗАТЕЛИ!$C$21:$C$83)*(D89=ПОКАЗАТЕЛИ!$D$21:$D$83),),0),7),"")</f>
        <v>0</v>
      </c>
      <c r="K89" s="172" t="str">
        <f>IFERROR(INDEX(ПОКАЗАТЕЛИ!$A$84:$H$346,MATCH(1,INDEX((A89=ПОКАЗАТЕЛИ!$A$84:$A$346)*(C89=ПОКАЗАТЕЛИ!$C$84:$C$346)*(D89=ПОКАЗАТЕЛИ!$D$84:$D$346),),0),7),"")</f>
        <v/>
      </c>
      <c r="L89" s="172">
        <f>IFERROR(INDEX(ПОКАЗАТЕЛИ!$A$21:$H$83,MATCH(1,INDEX((A89=ПОКАЗАТЕЛИ!$A$21:$A$83)*(C89=ПОКАЗАТЕЛИ!$C$21:$C$83)*(D89=ПОКАЗАТЕЛИ!$D$21:$D$83),),0),8),"")</f>
        <v>0</v>
      </c>
      <c r="M89" s="172" t="str">
        <f>IFERROR(INDEX(ПОКАЗАТЕЛИ!$A$84:$H$346,MATCH(1,INDEX((A89=ПОКАЗАТЕЛИ!$A$84:$A$346)*(C89=ПОКАЗАТЕЛИ!$C$84:$C$346)*(D89=ПОКАЗАТЕЛИ!$D$84:$D$346),),0),8),"")</f>
        <v/>
      </c>
    </row>
    <row r="90" spans="1:13" ht="15" customHeight="1" thickBot="1" x14ac:dyDescent="0.3">
      <c r="A90" s="183" t="str">
        <v/>
      </c>
      <c r="B90" s="110" t="str">
        <v/>
      </c>
      <c r="C90" s="110" t="str">
        <v/>
      </c>
      <c r="D90" s="110" t="str">
        <v/>
      </c>
      <c r="E90" s="111"/>
      <c r="F90" s="314" t="str">
        <f>IFERROR(INDEX(ПОКАЗАТЕЛИ!$A$6:$H$20,MATCH(1,INDEX((A90=ПОКАЗАТЕЛИ!$A$6:$A$20)*(C90=ПОКАЗАТЕЛИ!$C$6:$C$20)*(D90=ПОКАЗАТЕЛИ!$D$6:$D$20),),0),6),"")</f>
        <v/>
      </c>
      <c r="G90" s="315"/>
      <c r="H90" s="293">
        <f>IFERROR(INDEX(ПОКАЗАТЕЛИ!$A$21:$H$83,MATCH(1,INDEX((A90=ПОКАЗАТЕЛИ!$A$21:$A$83)*(C90=ПОКАЗАТЕЛИ!$C$21:$C$83)*(D90=ПОКАЗАТЕЛИ!$D$21:$D$83),),0),6),"")</f>
        <v>0</v>
      </c>
      <c r="I90" s="292" t="str">
        <f>IFERROR(INDEX(ПОКАЗАТЕЛИ!$A$84:$H$346,MATCH(1,INDEX((A90=ПОКАЗАТЕЛИ!$A$84:$A$346)*(C90=ПОКАЗАТЕЛИ!$C$84:$C$346)*(D90=ПОКАЗАТЕЛИ!$D$84:$D$346),),0),6),"")</f>
        <v/>
      </c>
      <c r="J90" s="293">
        <f>IFERROR(INDEX(ПОКАЗАТЕЛИ!$A$21:$H$83,MATCH(1,INDEX((A90=ПОКАЗАТЕЛИ!$A$21:$A$83)*(C90=ПОКАЗАТЕЛИ!$C$21:$C$83)*(D90=ПОКАЗАТЕЛИ!$D$21:$D$83),),0),7),"")</f>
        <v>0</v>
      </c>
      <c r="K90" s="294" t="str">
        <f>IFERROR(INDEX(ПОКАЗАТЕЛИ!$A$84:$H$346,MATCH(1,INDEX((A90=ПОКАЗАТЕЛИ!$A$84:$A$346)*(C90=ПОКАЗАТЕЛИ!$C$84:$C$346)*(D90=ПОКАЗАТЕЛИ!$D$84:$D$346),),0),7),"")</f>
        <v/>
      </c>
      <c r="L90" s="294">
        <f>IFERROR(INDEX(ПОКАЗАТЕЛИ!$A$21:$H$83,MATCH(1,INDEX((A90=ПОКАЗАТЕЛИ!$A$21:$A$83)*(C90=ПОКАЗАТЕЛИ!$C$21:$C$83)*(D90=ПОКАЗАТЕЛИ!$D$21:$D$83),),0),8),"")</f>
        <v>0</v>
      </c>
      <c r="M90" s="294" t="str">
        <f>IFERROR(INDEX(ПОКАЗАТЕЛИ!$A$84:$H$346,MATCH(1,INDEX((A90=ПОКАЗАТЕЛИ!$A$84:$A$346)*(C90=ПОКАЗАТЕЛИ!$C$84:$C$346)*(D90=ПОКАЗАТЕЛИ!$D$84:$D$346),),0),8),"")</f>
        <v/>
      </c>
    </row>
    <row r="91" spans="1:13" ht="15.75" customHeight="1" thickBot="1" x14ac:dyDescent="0.3">
      <c r="A91" s="528" t="str">
        <f>IF(OR(A19&lt;&gt;"",ROUND((F91+H91-I91),2)=0),"","НЕ ЗАПОЛНЕНО")</f>
        <v/>
      </c>
      <c r="B91" s="541" t="s">
        <v>771</v>
      </c>
      <c r="C91" s="541"/>
      <c r="D91" s="541"/>
      <c r="E91" s="542"/>
      <c r="F91" s="311">
        <f t="shared" ref="F91:M91" si="0">SUM(F19:F90)</f>
        <v>0</v>
      </c>
      <c r="G91" s="312">
        <f t="shared" si="0"/>
        <v>0</v>
      </c>
      <c r="H91" s="296">
        <f t="shared" si="0"/>
        <v>0</v>
      </c>
      <c r="I91" s="297">
        <f t="shared" si="0"/>
        <v>0</v>
      </c>
      <c r="J91" s="298">
        <f t="shared" si="0"/>
        <v>0</v>
      </c>
      <c r="K91" s="295">
        <f t="shared" si="0"/>
        <v>0</v>
      </c>
      <c r="L91" s="295">
        <f t="shared" si="0"/>
        <v>0</v>
      </c>
      <c r="M91" s="295">
        <f t="shared" si="0"/>
        <v>0</v>
      </c>
    </row>
    <row r="92" spans="1:13" ht="15.75" customHeight="1" x14ac:dyDescent="0.25">
      <c r="A92" s="528"/>
      <c r="B92" s="215"/>
      <c r="C92" s="215"/>
      <c r="D92" s="215"/>
      <c r="E92" s="215"/>
      <c r="F92" s="216"/>
      <c r="G92" s="216"/>
      <c r="H92" s="216"/>
      <c r="I92" s="216"/>
      <c r="J92" s="217"/>
      <c r="K92" s="217"/>
      <c r="L92" s="216"/>
      <c r="M92" s="216"/>
    </row>
    <row r="93" spans="1:13" ht="15" customHeight="1" x14ac:dyDescent="0.3">
      <c r="A93" s="529"/>
      <c r="B93" s="115"/>
      <c r="C93" s="299"/>
      <c r="D93" s="299"/>
      <c r="E93" s="299"/>
      <c r="F93" s="299"/>
      <c r="G93" s="116"/>
      <c r="H93" s="516" t="str">
        <f>IFERROR(INDEX(УЧРЕЖДЕНИЯ!$L$14:$L$52,MATCH(ТИТУЛ!$CO$20,УЧРЕЖДЕНИЯ!$C$14:$C$52,0)),"")</f>
        <v>Главный бухгалтер</v>
      </c>
      <c r="I93" s="516"/>
      <c r="J93" s="492" t="str">
        <f>IF(OR(E94="ВСЕ НЕ ВЕРНО",A91="НЕ ЗАПОЛНЕНО",A1="НЕ ПЕЧАТАЕТЬСЯ",A3="НЕ ПРЕДСТАВЛЯЕТЬСЯ"),"НЕТ ПОДПИСИ","")</f>
        <v>НЕТ ПОДПИСИ</v>
      </c>
      <c r="K93" s="492"/>
      <c r="L93" s="518" t="str">
        <f>IFERROR(INDEX(УЧРЕЖДЕНИЯ!$M$14:$M$52,MATCH(ТИТУЛ!$CO$20,УЧРЕЖДЕНИЯ!$C$14:$C$52,0)),"")</f>
        <v>Артемьева Елизавета Михайловна</v>
      </c>
      <c r="M93" s="518"/>
    </row>
    <row r="94" spans="1:13" ht="15" customHeight="1" x14ac:dyDescent="0.4">
      <c r="A94" s="300" t="str">
        <f>IF(AND(F91+H91=I91,I91=F91+ПОКАЗАТЕЛИ!F44+ПОКАЗАТЕЛИ!F63),"","НЕ ВЕРНО")</f>
        <v/>
      </c>
      <c r="B94" s="492" t="str">
        <f>IF(A94="НЕ ВЕРНО","1 ГОД","")</f>
        <v/>
      </c>
      <c r="C94" s="520"/>
      <c r="D94" s="520"/>
      <c r="E94" s="521" t="str">
        <f>IF(AND(B94="",B95="",B96=""),"","ВСЕ НЕ ВЕРНО")</f>
        <v/>
      </c>
      <c r="F94" s="521"/>
      <c r="G94" s="521"/>
      <c r="H94" s="516"/>
      <c r="I94" s="516"/>
      <c r="J94" s="519"/>
      <c r="K94" s="519"/>
      <c r="L94" s="518"/>
      <c r="M94" s="518"/>
    </row>
    <row r="95" spans="1:13" ht="15" customHeight="1" x14ac:dyDescent="0.4">
      <c r="A95" s="300" t="str">
        <f>IF(AND(J91=K91,K91=ПОКАЗАТЕЛИ!G44+ПОКАЗАТЕЛИ!G63),"","НЕ ВЕРНО")</f>
        <v/>
      </c>
      <c r="B95" s="492" t="str">
        <f>IF(A95="НЕ ВЕРНО","2 ГОД","")</f>
        <v/>
      </c>
      <c r="C95" s="520"/>
      <c r="D95" s="520"/>
      <c r="E95" s="521"/>
      <c r="F95" s="521"/>
      <c r="G95" s="521"/>
      <c r="H95" s="291"/>
      <c r="I95" s="291"/>
      <c r="J95" s="393" t="s">
        <v>143</v>
      </c>
      <c r="K95" s="393"/>
      <c r="L95" s="290"/>
      <c r="M95" s="290"/>
    </row>
    <row r="96" spans="1:13" ht="15" customHeight="1" x14ac:dyDescent="0.4">
      <c r="A96" s="300" t="str">
        <f>IF(AND(L91=M91,M91=ПОКАЗАТЕЛИ!H44+ПОКАЗАТЕЛИ!H63),"","НЕ ВЕРНО")</f>
        <v/>
      </c>
      <c r="B96" s="492" t="str">
        <f>IF(A96="НЕ ВЕРНО","3 ГОД","")</f>
        <v/>
      </c>
      <c r="C96" s="520"/>
      <c r="D96" s="520"/>
      <c r="E96" s="521"/>
      <c r="F96" s="521"/>
      <c r="G96" s="521"/>
      <c r="H96" s="44"/>
      <c r="I96" s="112"/>
      <c r="J96" s="492" t="str">
        <f>ПОКАЗАТЕЛИ!J351</f>
        <v/>
      </c>
      <c r="K96" s="409"/>
      <c r="L96" s="518" t="str">
        <f>ПОКАЗАТЕЛИ!L351</f>
        <v>Артемьева Елизавета Михайловна</v>
      </c>
      <c r="M96" s="522"/>
    </row>
    <row r="97" spans="1:14" ht="15" customHeight="1" x14ac:dyDescent="0.3">
      <c r="A97" s="211"/>
      <c r="B97" s="211"/>
      <c r="C97" s="301"/>
      <c r="D97" s="301"/>
      <c r="E97" s="301"/>
      <c r="F97" s="301"/>
      <c r="G97" s="301"/>
      <c r="H97" s="517" t="s">
        <v>324</v>
      </c>
      <c r="I97" s="517"/>
      <c r="J97" s="523"/>
      <c r="K97" s="523"/>
      <c r="L97" s="522"/>
      <c r="M97" s="522"/>
      <c r="N97" s="22"/>
    </row>
    <row r="98" spans="1:14" ht="15" customHeight="1" x14ac:dyDescent="0.3">
      <c r="B98" s="178"/>
      <c r="C98" s="178"/>
      <c r="D98" s="178"/>
      <c r="E98" s="178"/>
      <c r="F98" s="178"/>
      <c r="G98" s="178"/>
      <c r="H98" s="184"/>
      <c r="I98" s="184"/>
      <c r="J98" s="498" t="s">
        <v>143</v>
      </c>
      <c r="K98" s="511"/>
      <c r="L98" s="184"/>
      <c r="M98" s="184"/>
    </row>
    <row r="99" spans="1:14" ht="36.6" x14ac:dyDescent="0.3">
      <c r="B99" s="176"/>
      <c r="C99" s="176"/>
      <c r="D99" s="176"/>
      <c r="E99" s="176"/>
      <c r="F99" s="176"/>
      <c r="G99" s="176"/>
      <c r="H99" s="115"/>
      <c r="I99" s="115"/>
      <c r="J99" s="210"/>
      <c r="K99" s="210"/>
      <c r="L99" s="210"/>
      <c r="M99" s="210"/>
    </row>
    <row r="100" spans="1:14" ht="6.75" customHeight="1" x14ac:dyDescent="0.3">
      <c r="B100" s="181"/>
      <c r="C100" s="181"/>
      <c r="D100" s="181"/>
      <c r="E100" s="181"/>
      <c r="F100" s="181"/>
      <c r="G100" s="116"/>
      <c r="H100" s="115"/>
      <c r="I100" s="115"/>
      <c r="J100" s="210"/>
      <c r="K100" s="210"/>
      <c r="L100" s="210"/>
      <c r="M100" s="210"/>
    </row>
    <row r="101" spans="1:14" ht="14.4" x14ac:dyDescent="0.3">
      <c r="B101" s="21"/>
      <c r="C101" s="21"/>
      <c r="D101" s="21"/>
      <c r="E101" s="21"/>
      <c r="F101" s="21"/>
      <c r="G101" s="117"/>
      <c r="H101" s="210"/>
      <c r="I101" s="210"/>
      <c r="J101" s="210"/>
      <c r="K101" s="210"/>
      <c r="L101" s="210"/>
      <c r="M101" s="210"/>
    </row>
  </sheetData>
  <sheetProtection algorithmName="SHA-512" hashValue="eh4sqlObYkRble0RYbSa6+virFKmyiDtsDzH4rQTBC27fa/+SWyWIW2guoKuKGF2TX7WdqZ0ttuE7BLR1Kh4yQ==" saltValue="Jl3GoUd/S0+esfc+gqGEOA==" spinCount="100000" sheet="1" formatCells="0" formatColumns="0" formatRows="0" insertColumns="0" insertRows="0" insertHyperlinks="0" deleteColumns="0" deleteRows="0" sort="0" autoFilter="0" pivotTables="0"/>
  <dataConsolidate/>
  <mergeCells count="46">
    <mergeCell ref="A91:A93"/>
    <mergeCell ref="J95:K95"/>
    <mergeCell ref="B94:D94"/>
    <mergeCell ref="B95:D95"/>
    <mergeCell ref="E16:E18"/>
    <mergeCell ref="B16:B18"/>
    <mergeCell ref="C16:C18"/>
    <mergeCell ref="D16:D18"/>
    <mergeCell ref="A16:A18"/>
    <mergeCell ref="B91:E91"/>
    <mergeCell ref="G16:G18"/>
    <mergeCell ref="B96:D96"/>
    <mergeCell ref="E94:G96"/>
    <mergeCell ref="L96:M97"/>
    <mergeCell ref="J96:K97"/>
    <mergeCell ref="F16:F18"/>
    <mergeCell ref="H16:M16"/>
    <mergeCell ref="J98:K98"/>
    <mergeCell ref="H17:I17"/>
    <mergeCell ref="J17:K17"/>
    <mergeCell ref="L17:M17"/>
    <mergeCell ref="H93:I94"/>
    <mergeCell ref="H97:I97"/>
    <mergeCell ref="L93:M94"/>
    <mergeCell ref="J93:K94"/>
    <mergeCell ref="K13:L13"/>
    <mergeCell ref="K12:L12"/>
    <mergeCell ref="A8:M8"/>
    <mergeCell ref="A9:M9"/>
    <mergeCell ref="A10:A12"/>
    <mergeCell ref="B13:J15"/>
    <mergeCell ref="A13:A15"/>
    <mergeCell ref="I1:M1"/>
    <mergeCell ref="I2:M2"/>
    <mergeCell ref="A5:F6"/>
    <mergeCell ref="I3:M4"/>
    <mergeCell ref="B10:J12"/>
    <mergeCell ref="L5:M6"/>
    <mergeCell ref="K11:L11"/>
    <mergeCell ref="J5:K6"/>
    <mergeCell ref="A1:F2"/>
    <mergeCell ref="A3:F4"/>
    <mergeCell ref="H7:I7"/>
    <mergeCell ref="L7:M7"/>
    <mergeCell ref="J7:K7"/>
    <mergeCell ref="H5:I6"/>
  </mergeCells>
  <printOptions horizontalCentered="1"/>
  <pageMargins left="0.39370078740157483" right="0.39370078740157483" top="0.39370078740157483" bottom="0" header="0" footer="0"/>
  <pageSetup paperSize="9" scale="70" firstPageNumber="11" orientation="landscape" useFirstPageNumber="1" r:id="rId1"/>
  <headerFooter>
    <oddFooter>&amp;L&amp;T &amp;D&amp;Cверсия 220102&amp;R&amp;P из 12</oddFooter>
  </headerFooter>
  <rowBreaks count="1" manualBreakCount="1">
    <brk id="4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0000"/>
  </sheetPr>
  <dimension ref="A1:M52"/>
  <sheetViews>
    <sheetView workbookViewId="0">
      <pane ySplit="13" topLeftCell="A31" activePane="bottomLeft" state="frozen"/>
      <selection pane="bottomLeft" activeCell="M45" sqref="M45"/>
    </sheetView>
  </sheetViews>
  <sheetFormatPr defaultRowHeight="14.4" x14ac:dyDescent="0.3"/>
  <cols>
    <col min="1" max="1" width="16.33203125" bestFit="1" customWidth="1"/>
    <col min="2" max="2" width="18.5546875" style="1" bestFit="1" customWidth="1"/>
    <col min="3" max="3" width="13.6640625" style="1" bestFit="1" customWidth="1"/>
    <col min="4" max="4" width="16.109375" bestFit="1" customWidth="1"/>
    <col min="5" max="5" width="13" customWidth="1"/>
    <col min="6" max="6" width="23.109375" style="1" customWidth="1"/>
    <col min="7" max="7" width="16.88671875" style="1" bestFit="1" customWidth="1"/>
    <col min="8" max="8" width="20.6640625" style="1" customWidth="1"/>
    <col min="9" max="9" width="13.5546875" style="1" customWidth="1"/>
    <col min="10" max="10" width="11" style="1" bestFit="1" customWidth="1"/>
    <col min="11" max="11" width="9.109375" style="1"/>
    <col min="12" max="12" width="4.5546875" style="1" customWidth="1"/>
  </cols>
  <sheetData>
    <row r="1" spans="1:13" x14ac:dyDescent="0.3">
      <c r="C1" s="1" t="s">
        <v>120</v>
      </c>
      <c r="D1" s="1" t="s">
        <v>121</v>
      </c>
    </row>
    <row r="2" spans="1:13" x14ac:dyDescent="0.3">
      <c r="A2" s="35" t="s">
        <v>137</v>
      </c>
      <c r="B2" s="36" t="s">
        <v>180</v>
      </c>
      <c r="C2" s="36" t="s">
        <v>124</v>
      </c>
      <c r="D2" s="35" t="s">
        <v>3</v>
      </c>
      <c r="E2" s="35" t="s">
        <v>124</v>
      </c>
      <c r="F2" s="36" t="s">
        <v>222</v>
      </c>
      <c r="G2" s="36" t="s">
        <v>223</v>
      </c>
      <c r="H2" s="53" t="s">
        <v>548</v>
      </c>
      <c r="I2" s="53" t="s">
        <v>549</v>
      </c>
      <c r="J2" s="34"/>
    </row>
    <row r="3" spans="1:13" x14ac:dyDescent="0.3">
      <c r="A3" t="s">
        <v>134</v>
      </c>
      <c r="B3" s="1" t="s">
        <v>181</v>
      </c>
      <c r="C3" s="1" t="s">
        <v>123</v>
      </c>
      <c r="D3" s="32">
        <v>22320046</v>
      </c>
      <c r="E3" s="1" t="s">
        <v>261</v>
      </c>
      <c r="F3" s="1" t="s">
        <v>553</v>
      </c>
      <c r="G3" s="1" t="s">
        <v>550</v>
      </c>
      <c r="H3" s="52" t="s">
        <v>148</v>
      </c>
      <c r="I3" s="52" t="s">
        <v>149</v>
      </c>
    </row>
    <row r="4" spans="1:13" x14ac:dyDescent="0.3">
      <c r="A4" t="s">
        <v>135</v>
      </c>
      <c r="B4" s="1" t="s">
        <v>182</v>
      </c>
      <c r="C4" s="1" t="s">
        <v>123</v>
      </c>
      <c r="D4" s="32">
        <v>22320046</v>
      </c>
      <c r="E4" s="1" t="s">
        <v>261</v>
      </c>
      <c r="F4" s="1" t="s">
        <v>553</v>
      </c>
      <c r="G4" s="1" t="s">
        <v>550</v>
      </c>
      <c r="H4" s="52" t="s">
        <v>148</v>
      </c>
      <c r="I4" s="52" t="s">
        <v>149</v>
      </c>
    </row>
    <row r="5" spans="1:13" x14ac:dyDescent="0.3">
      <c r="A5" t="s">
        <v>136</v>
      </c>
      <c r="B5" s="1" t="s">
        <v>183</v>
      </c>
      <c r="C5" s="1" t="s">
        <v>123</v>
      </c>
      <c r="D5" s="32">
        <v>22320046</v>
      </c>
      <c r="E5" s="1" t="s">
        <v>261</v>
      </c>
      <c r="F5" s="1" t="s">
        <v>553</v>
      </c>
      <c r="G5" s="1" t="s">
        <v>550</v>
      </c>
      <c r="H5" s="52" t="s">
        <v>148</v>
      </c>
      <c r="I5" s="52" t="s">
        <v>149</v>
      </c>
    </row>
    <row r="6" spans="1:13" x14ac:dyDescent="0.3">
      <c r="A6" t="s">
        <v>132</v>
      </c>
      <c r="B6" s="1" t="s">
        <v>190</v>
      </c>
      <c r="C6" s="1" t="s">
        <v>220</v>
      </c>
      <c r="D6" s="32" t="s">
        <v>625</v>
      </c>
      <c r="E6" s="1" t="s">
        <v>219</v>
      </c>
      <c r="F6" s="1" t="s">
        <v>221</v>
      </c>
      <c r="G6" s="1" t="s">
        <v>551</v>
      </c>
      <c r="H6" s="52" t="s">
        <v>148</v>
      </c>
      <c r="I6" s="52" t="s">
        <v>773</v>
      </c>
    </row>
    <row r="7" spans="1:13" x14ac:dyDescent="0.3">
      <c r="A7" t="s">
        <v>131</v>
      </c>
      <c r="B7" s="1" t="s">
        <v>183</v>
      </c>
      <c r="C7" s="1" t="s">
        <v>207</v>
      </c>
      <c r="D7" s="32" t="s">
        <v>624</v>
      </c>
      <c r="E7" s="1" t="s">
        <v>206</v>
      </c>
      <c r="F7" s="1" t="s">
        <v>150</v>
      </c>
      <c r="G7" s="1" t="s">
        <v>552</v>
      </c>
      <c r="H7" s="52" t="s">
        <v>148</v>
      </c>
      <c r="I7" s="52" t="s">
        <v>193</v>
      </c>
    </row>
    <row r="8" spans="1:13" x14ac:dyDescent="0.3">
      <c r="A8" t="s">
        <v>129</v>
      </c>
      <c r="B8" s="1" t="s">
        <v>187</v>
      </c>
      <c r="C8" s="1" t="s">
        <v>207</v>
      </c>
      <c r="D8" s="32" t="s">
        <v>624</v>
      </c>
      <c r="E8" s="1" t="s">
        <v>206</v>
      </c>
      <c r="F8" s="1" t="s">
        <v>150</v>
      </c>
      <c r="G8" s="1" t="s">
        <v>552</v>
      </c>
      <c r="H8" s="52" t="s">
        <v>148</v>
      </c>
      <c r="I8" s="52" t="s">
        <v>193</v>
      </c>
    </row>
    <row r="9" spans="1:13" x14ac:dyDescent="0.3">
      <c r="A9" t="s">
        <v>130</v>
      </c>
      <c r="B9" s="1" t="s">
        <v>187</v>
      </c>
      <c r="C9" s="1" t="s">
        <v>207</v>
      </c>
      <c r="D9" s="32" t="s">
        <v>624</v>
      </c>
      <c r="E9" s="1" t="s">
        <v>206</v>
      </c>
      <c r="F9" s="1" t="s">
        <v>150</v>
      </c>
      <c r="G9" s="1" t="s">
        <v>552</v>
      </c>
      <c r="H9" s="52" t="s">
        <v>148</v>
      </c>
      <c r="I9" s="52" t="s">
        <v>193</v>
      </c>
    </row>
    <row r="10" spans="1:13" x14ac:dyDescent="0.3">
      <c r="A10" t="s">
        <v>133</v>
      </c>
      <c r="B10" s="1" t="s">
        <v>189</v>
      </c>
      <c r="C10" s="1" t="s">
        <v>125</v>
      </c>
      <c r="D10" s="32">
        <v>22320044</v>
      </c>
      <c r="E10" s="1" t="s">
        <v>743</v>
      </c>
      <c r="F10" s="1" t="s">
        <v>744</v>
      </c>
      <c r="G10" s="1" t="s">
        <v>745</v>
      </c>
      <c r="H10" s="52" t="s">
        <v>812</v>
      </c>
      <c r="I10" s="52" t="s">
        <v>798</v>
      </c>
    </row>
    <row r="11" spans="1:13" x14ac:dyDescent="0.3">
      <c r="A11" t="s">
        <v>194</v>
      </c>
      <c r="B11" s="1" t="s">
        <v>187</v>
      </c>
      <c r="C11" s="1" t="s">
        <v>207</v>
      </c>
      <c r="D11" s="32" t="s">
        <v>624</v>
      </c>
      <c r="E11" s="1" t="s">
        <v>206</v>
      </c>
      <c r="F11" s="1" t="s">
        <v>150</v>
      </c>
      <c r="G11" s="1" t="s">
        <v>552</v>
      </c>
      <c r="H11" s="52" t="s">
        <v>148</v>
      </c>
      <c r="I11" s="52" t="s">
        <v>193</v>
      </c>
    </row>
    <row r="12" spans="1:13" x14ac:dyDescent="0.3">
      <c r="A12" t="s">
        <v>195</v>
      </c>
      <c r="B12" s="1" t="s">
        <v>188</v>
      </c>
      <c r="C12" s="1" t="s">
        <v>125</v>
      </c>
      <c r="D12" s="32">
        <v>22320044</v>
      </c>
      <c r="E12" s="1" t="s">
        <v>743</v>
      </c>
      <c r="F12" s="1" t="s">
        <v>744</v>
      </c>
      <c r="G12" s="1" t="s">
        <v>745</v>
      </c>
      <c r="H12" s="52" t="s">
        <v>812</v>
      </c>
      <c r="I12" s="52" t="s">
        <v>798</v>
      </c>
    </row>
    <row r="13" spans="1:13" x14ac:dyDescent="0.3">
      <c r="A13" s="35" t="s">
        <v>128</v>
      </c>
      <c r="B13" s="35" t="s">
        <v>3</v>
      </c>
      <c r="C13" s="36" t="s">
        <v>5</v>
      </c>
      <c r="D13" s="36" t="s">
        <v>6</v>
      </c>
      <c r="E13" s="36" t="s">
        <v>13</v>
      </c>
      <c r="F13" s="36" t="s">
        <v>14</v>
      </c>
      <c r="G13" s="36" t="s">
        <v>122</v>
      </c>
      <c r="H13" s="36" t="s">
        <v>82</v>
      </c>
      <c r="I13" s="36" t="s">
        <v>119</v>
      </c>
      <c r="J13" s="35" t="s">
        <v>144</v>
      </c>
      <c r="K13" s="35" t="s">
        <v>145</v>
      </c>
      <c r="L13" s="35" t="s">
        <v>144</v>
      </c>
      <c r="M13" s="35" t="s">
        <v>147</v>
      </c>
    </row>
    <row r="14" spans="1:13" x14ac:dyDescent="0.3">
      <c r="A14" t="s">
        <v>195</v>
      </c>
      <c r="B14">
        <v>22320477</v>
      </c>
      <c r="C14" s="38">
        <v>5239009749</v>
      </c>
      <c r="D14" s="1">
        <v>523901001</v>
      </c>
      <c r="E14" s="1" t="s">
        <v>712</v>
      </c>
      <c r="F14" s="1" t="s">
        <v>767</v>
      </c>
      <c r="G14" s="1" t="s">
        <v>228</v>
      </c>
      <c r="H14" s="1" t="s">
        <v>84</v>
      </c>
      <c r="I14" s="1" t="s">
        <v>121</v>
      </c>
      <c r="J14" t="s">
        <v>150</v>
      </c>
      <c r="K14" t="s">
        <v>741</v>
      </c>
      <c r="L14" t="s">
        <v>148</v>
      </c>
      <c r="M14" t="s">
        <v>740</v>
      </c>
    </row>
    <row r="15" spans="1:13" x14ac:dyDescent="0.3">
      <c r="A15" t="s">
        <v>134</v>
      </c>
      <c r="B15">
        <v>22320165</v>
      </c>
      <c r="C15" s="38">
        <v>5239006473</v>
      </c>
      <c r="D15" s="1">
        <v>523901001</v>
      </c>
      <c r="E15" s="1" t="s">
        <v>15</v>
      </c>
      <c r="F15" s="1" t="s">
        <v>16</v>
      </c>
      <c r="G15" s="1">
        <v>47055014</v>
      </c>
      <c r="H15" s="1" t="s">
        <v>85</v>
      </c>
      <c r="I15" s="1" t="s">
        <v>120</v>
      </c>
      <c r="J15" t="s">
        <v>146</v>
      </c>
      <c r="K15" t="s">
        <v>151</v>
      </c>
      <c r="L15" t="s">
        <v>148</v>
      </c>
      <c r="M15" t="s">
        <v>149</v>
      </c>
    </row>
    <row r="16" spans="1:13" x14ac:dyDescent="0.3">
      <c r="A16" t="s">
        <v>134</v>
      </c>
      <c r="B16">
        <v>22320178</v>
      </c>
      <c r="C16" s="38">
        <v>5239005504</v>
      </c>
      <c r="D16" s="1">
        <v>523901001</v>
      </c>
      <c r="E16" s="1" t="s">
        <v>714</v>
      </c>
      <c r="F16" s="1" t="s">
        <v>774</v>
      </c>
      <c r="G16" s="1" t="s">
        <v>229</v>
      </c>
      <c r="H16" s="1" t="s">
        <v>86</v>
      </c>
      <c r="I16" s="1" t="s">
        <v>120</v>
      </c>
      <c r="J16" t="s">
        <v>146</v>
      </c>
      <c r="K16" t="s">
        <v>742</v>
      </c>
      <c r="L16" t="s">
        <v>148</v>
      </c>
      <c r="M16" t="s">
        <v>149</v>
      </c>
    </row>
    <row r="17" spans="1:13" x14ac:dyDescent="0.3">
      <c r="A17" t="s">
        <v>135</v>
      </c>
      <c r="B17">
        <v>22320619</v>
      </c>
      <c r="C17" s="38">
        <v>5239006650</v>
      </c>
      <c r="D17" s="1">
        <v>523901001</v>
      </c>
      <c r="E17" s="1" t="s">
        <v>17</v>
      </c>
      <c r="F17" s="1" t="s">
        <v>18</v>
      </c>
      <c r="G17" s="1" t="s">
        <v>230</v>
      </c>
      <c r="H17" s="1" t="s">
        <v>87</v>
      </c>
      <c r="I17" s="1" t="s">
        <v>121</v>
      </c>
      <c r="J17" t="s">
        <v>150</v>
      </c>
      <c r="K17" t="s">
        <v>154</v>
      </c>
      <c r="L17" t="s">
        <v>148</v>
      </c>
      <c r="M17" t="s">
        <v>832</v>
      </c>
    </row>
    <row r="18" spans="1:13" x14ac:dyDescent="0.3">
      <c r="A18" t="s">
        <v>132</v>
      </c>
      <c r="B18">
        <v>22320304</v>
      </c>
      <c r="C18" s="38">
        <v>5239010920</v>
      </c>
      <c r="D18" s="1">
        <v>523901001</v>
      </c>
      <c r="E18" s="1" t="s">
        <v>19</v>
      </c>
      <c r="F18" s="1" t="s">
        <v>20</v>
      </c>
      <c r="G18" s="1">
        <v>25615435</v>
      </c>
      <c r="H18" s="1" t="s">
        <v>88</v>
      </c>
      <c r="I18" s="1" t="s">
        <v>120</v>
      </c>
      <c r="J18" t="s">
        <v>150</v>
      </c>
      <c r="K18" t="s">
        <v>155</v>
      </c>
      <c r="L18" t="s">
        <v>148</v>
      </c>
      <c r="M18" t="s">
        <v>216</v>
      </c>
    </row>
    <row r="19" spans="1:13" x14ac:dyDescent="0.3">
      <c r="A19" t="s">
        <v>135</v>
      </c>
      <c r="B19" s="32" t="s">
        <v>177</v>
      </c>
      <c r="C19" s="38">
        <v>5239011434</v>
      </c>
      <c r="D19" s="1">
        <v>523901001</v>
      </c>
      <c r="E19" s="1" t="s">
        <v>21</v>
      </c>
      <c r="F19" s="1" t="s">
        <v>22</v>
      </c>
      <c r="G19" s="1">
        <v>47054003</v>
      </c>
      <c r="H19" s="1" t="s">
        <v>89</v>
      </c>
      <c r="I19" s="1" t="s">
        <v>120</v>
      </c>
      <c r="J19" t="s">
        <v>150</v>
      </c>
      <c r="K19" t="s">
        <v>878</v>
      </c>
      <c r="L19" t="s">
        <v>148</v>
      </c>
      <c r="M19" t="s">
        <v>149</v>
      </c>
    </row>
    <row r="20" spans="1:13" x14ac:dyDescent="0.3">
      <c r="A20" t="s">
        <v>131</v>
      </c>
      <c r="B20" s="32" t="s">
        <v>215</v>
      </c>
      <c r="C20" s="38">
        <v>5239006770</v>
      </c>
      <c r="D20" s="1">
        <v>523901001</v>
      </c>
      <c r="E20" s="1" t="s">
        <v>23</v>
      </c>
      <c r="F20" s="1" t="s">
        <v>24</v>
      </c>
      <c r="G20" s="1" t="s">
        <v>231</v>
      </c>
      <c r="H20" s="1" t="s">
        <v>90</v>
      </c>
      <c r="I20" s="1" t="s">
        <v>121</v>
      </c>
      <c r="J20" t="s">
        <v>150</v>
      </c>
      <c r="K20" t="s">
        <v>156</v>
      </c>
      <c r="L20" t="s">
        <v>148</v>
      </c>
      <c r="M20" t="s">
        <v>157</v>
      </c>
    </row>
    <row r="21" spans="1:13" x14ac:dyDescent="0.3">
      <c r="A21" t="s">
        <v>134</v>
      </c>
      <c r="B21">
        <v>22320159</v>
      </c>
      <c r="C21" s="38">
        <v>5239006593</v>
      </c>
      <c r="D21" s="1">
        <v>523901001</v>
      </c>
      <c r="E21" s="1" t="s">
        <v>25</v>
      </c>
      <c r="F21" s="1" t="s">
        <v>26</v>
      </c>
      <c r="G21" s="1" t="s">
        <v>232</v>
      </c>
      <c r="H21" s="1" t="s">
        <v>91</v>
      </c>
      <c r="I21" s="1" t="s">
        <v>120</v>
      </c>
      <c r="J21" t="s">
        <v>146</v>
      </c>
      <c r="K21" t="s">
        <v>205</v>
      </c>
      <c r="L21" t="s">
        <v>148</v>
      </c>
      <c r="M21" t="s">
        <v>149</v>
      </c>
    </row>
    <row r="22" spans="1:13" x14ac:dyDescent="0.3">
      <c r="A22" t="s">
        <v>134</v>
      </c>
      <c r="B22">
        <v>22320211</v>
      </c>
      <c r="C22" s="38">
        <v>5239006603</v>
      </c>
      <c r="D22" s="1">
        <v>523901001</v>
      </c>
      <c r="E22" s="1" t="s">
        <v>27</v>
      </c>
      <c r="F22" s="1" t="s">
        <v>28</v>
      </c>
      <c r="G22" s="1" t="s">
        <v>233</v>
      </c>
      <c r="H22" s="1" t="s">
        <v>92</v>
      </c>
      <c r="I22" s="1" t="s">
        <v>120</v>
      </c>
      <c r="J22" t="s">
        <v>146</v>
      </c>
      <c r="K22" t="s">
        <v>152</v>
      </c>
      <c r="L22" t="s">
        <v>148</v>
      </c>
      <c r="M22" t="s">
        <v>158</v>
      </c>
    </row>
    <row r="23" spans="1:13" x14ac:dyDescent="0.3">
      <c r="A23" t="s">
        <v>134</v>
      </c>
      <c r="B23">
        <v>22320162</v>
      </c>
      <c r="C23" s="38">
        <v>5239005430</v>
      </c>
      <c r="D23" s="1">
        <v>523901001</v>
      </c>
      <c r="E23" s="1" t="s">
        <v>29</v>
      </c>
      <c r="F23" s="1" t="s">
        <v>30</v>
      </c>
      <c r="G23" s="1" t="s">
        <v>234</v>
      </c>
      <c r="H23" s="1" t="s">
        <v>93</v>
      </c>
      <c r="I23" s="1" t="s">
        <v>120</v>
      </c>
      <c r="J23" t="s">
        <v>146</v>
      </c>
      <c r="K23" t="s">
        <v>204</v>
      </c>
      <c r="L23" t="s">
        <v>148</v>
      </c>
      <c r="M23" t="s">
        <v>149</v>
      </c>
    </row>
    <row r="24" spans="1:13" x14ac:dyDescent="0.3">
      <c r="A24" t="s">
        <v>134</v>
      </c>
      <c r="B24">
        <v>22320163</v>
      </c>
      <c r="C24" s="38">
        <v>5239005462</v>
      </c>
      <c r="D24" s="1">
        <v>523901001</v>
      </c>
      <c r="E24" s="1" t="s">
        <v>31</v>
      </c>
      <c r="F24" s="1" t="s">
        <v>32</v>
      </c>
      <c r="G24" s="1" t="s">
        <v>235</v>
      </c>
      <c r="H24" s="1" t="s">
        <v>94</v>
      </c>
      <c r="I24" s="1" t="s">
        <v>120</v>
      </c>
      <c r="J24" t="s">
        <v>146</v>
      </c>
      <c r="K24" t="s">
        <v>159</v>
      </c>
      <c r="L24" t="s">
        <v>148</v>
      </c>
      <c r="M24" t="s">
        <v>149</v>
      </c>
    </row>
    <row r="25" spans="1:13" x14ac:dyDescent="0.3">
      <c r="A25" t="s">
        <v>134</v>
      </c>
      <c r="B25">
        <v>22320155</v>
      </c>
      <c r="C25" s="38">
        <v>5239006184</v>
      </c>
      <c r="D25" s="1">
        <v>523901001</v>
      </c>
      <c r="E25" s="1" t="s">
        <v>33</v>
      </c>
      <c r="F25" s="1" t="s">
        <v>34</v>
      </c>
      <c r="G25" s="1" t="s">
        <v>236</v>
      </c>
      <c r="H25" s="1" t="s">
        <v>95</v>
      </c>
      <c r="I25" s="1" t="s">
        <v>120</v>
      </c>
      <c r="J25" t="s">
        <v>146</v>
      </c>
      <c r="K25" t="s">
        <v>263</v>
      </c>
      <c r="L25" t="s">
        <v>148</v>
      </c>
      <c r="M25" t="s">
        <v>149</v>
      </c>
    </row>
    <row r="26" spans="1:13" x14ac:dyDescent="0.3">
      <c r="A26" t="s">
        <v>134</v>
      </c>
      <c r="B26">
        <v>22320146</v>
      </c>
      <c r="C26" s="38">
        <v>5239006956</v>
      </c>
      <c r="D26" s="1">
        <v>523901001</v>
      </c>
      <c r="E26" s="1" t="s">
        <v>35</v>
      </c>
      <c r="F26" s="1" t="s">
        <v>36</v>
      </c>
      <c r="G26" s="1" t="s">
        <v>237</v>
      </c>
      <c r="H26" s="1" t="s">
        <v>96</v>
      </c>
      <c r="I26" s="1" t="s">
        <v>120</v>
      </c>
      <c r="J26" t="s">
        <v>146</v>
      </c>
      <c r="K26" t="s">
        <v>160</v>
      </c>
      <c r="L26" t="s">
        <v>148</v>
      </c>
      <c r="M26" t="s">
        <v>153</v>
      </c>
    </row>
    <row r="27" spans="1:13" x14ac:dyDescent="0.3">
      <c r="A27" t="s">
        <v>134</v>
      </c>
      <c r="B27">
        <v>22320169</v>
      </c>
      <c r="C27" s="38">
        <v>5239006392</v>
      </c>
      <c r="D27" s="1">
        <v>523901001</v>
      </c>
      <c r="E27" s="1" t="s">
        <v>37</v>
      </c>
      <c r="F27" s="1" t="s">
        <v>38</v>
      </c>
      <c r="G27" s="1" t="s">
        <v>238</v>
      </c>
      <c r="H27" s="1" t="s">
        <v>97</v>
      </c>
      <c r="I27" s="1" t="s">
        <v>120</v>
      </c>
      <c r="J27" t="s">
        <v>146</v>
      </c>
      <c r="K27" t="s">
        <v>217</v>
      </c>
      <c r="L27" t="s">
        <v>148</v>
      </c>
      <c r="M27" t="s">
        <v>149</v>
      </c>
    </row>
    <row r="28" spans="1:13" x14ac:dyDescent="0.3">
      <c r="A28" t="s">
        <v>134</v>
      </c>
      <c r="B28">
        <v>22320156</v>
      </c>
      <c r="C28" s="38">
        <v>5239005494</v>
      </c>
      <c r="D28" s="1">
        <v>523901001</v>
      </c>
      <c r="E28" s="1" t="s">
        <v>39</v>
      </c>
      <c r="F28" s="1" t="s">
        <v>40</v>
      </c>
      <c r="G28" s="1" t="s">
        <v>239</v>
      </c>
      <c r="H28" s="1" t="s">
        <v>98</v>
      </c>
      <c r="I28" s="1" t="s">
        <v>120</v>
      </c>
      <c r="J28" t="s">
        <v>146</v>
      </c>
      <c r="K28" t="s">
        <v>161</v>
      </c>
      <c r="L28" t="s">
        <v>162</v>
      </c>
      <c r="M28" t="s">
        <v>149</v>
      </c>
    </row>
    <row r="29" spans="1:13" x14ac:dyDescent="0.3">
      <c r="A29" t="s">
        <v>134</v>
      </c>
      <c r="B29">
        <v>22320147</v>
      </c>
      <c r="C29" s="38">
        <v>5239005568</v>
      </c>
      <c r="D29" s="1">
        <v>523901001</v>
      </c>
      <c r="E29" s="1" t="s">
        <v>41</v>
      </c>
      <c r="F29" s="1" t="s">
        <v>42</v>
      </c>
      <c r="G29" s="1" t="s">
        <v>240</v>
      </c>
      <c r="H29" s="1" t="s">
        <v>99</v>
      </c>
      <c r="I29" s="1" t="s">
        <v>120</v>
      </c>
      <c r="J29" t="s">
        <v>146</v>
      </c>
      <c r="K29" t="s">
        <v>192</v>
      </c>
      <c r="L29" t="s">
        <v>148</v>
      </c>
      <c r="M29" t="s">
        <v>149</v>
      </c>
    </row>
    <row r="30" spans="1:13" x14ac:dyDescent="0.3">
      <c r="A30" t="s">
        <v>134</v>
      </c>
      <c r="B30">
        <v>22320157</v>
      </c>
      <c r="C30" s="38">
        <v>5239006385</v>
      </c>
      <c r="D30" s="1">
        <v>523901001</v>
      </c>
      <c r="E30" s="1" t="s">
        <v>43</v>
      </c>
      <c r="F30" s="1" t="s">
        <v>44</v>
      </c>
      <c r="G30" s="1" t="s">
        <v>241</v>
      </c>
      <c r="H30" s="1" t="s">
        <v>100</v>
      </c>
      <c r="I30" s="1" t="s">
        <v>120</v>
      </c>
      <c r="J30" t="s">
        <v>146</v>
      </c>
      <c r="K30" t="s">
        <v>163</v>
      </c>
      <c r="L30" t="s">
        <v>148</v>
      </c>
      <c r="M30" t="s">
        <v>149</v>
      </c>
    </row>
    <row r="31" spans="1:13" x14ac:dyDescent="0.3">
      <c r="A31" t="s">
        <v>134</v>
      </c>
      <c r="B31">
        <v>22320158</v>
      </c>
      <c r="C31" s="38">
        <v>5239005913</v>
      </c>
      <c r="D31" s="1">
        <v>523901001</v>
      </c>
      <c r="E31" s="1" t="s">
        <v>45</v>
      </c>
      <c r="F31" s="1" t="s">
        <v>46</v>
      </c>
      <c r="G31" s="1" t="s">
        <v>226</v>
      </c>
      <c r="H31" s="1" t="s">
        <v>101</v>
      </c>
      <c r="I31" s="1" t="s">
        <v>120</v>
      </c>
      <c r="J31" t="s">
        <v>146</v>
      </c>
      <c r="K31" t="s">
        <v>225</v>
      </c>
      <c r="L31" t="s">
        <v>148</v>
      </c>
      <c r="M31" t="s">
        <v>149</v>
      </c>
    </row>
    <row r="32" spans="1:13" x14ac:dyDescent="0.3">
      <c r="A32" t="s">
        <v>134</v>
      </c>
      <c r="B32">
        <v>22320693</v>
      </c>
      <c r="C32" s="38">
        <v>5239011191</v>
      </c>
      <c r="D32" s="1">
        <v>523901001</v>
      </c>
      <c r="E32" s="1" t="s">
        <v>47</v>
      </c>
      <c r="F32" s="1" t="s">
        <v>48</v>
      </c>
      <c r="G32" s="1" t="s">
        <v>227</v>
      </c>
      <c r="H32" s="1" t="s">
        <v>102</v>
      </c>
      <c r="I32" s="1" t="s">
        <v>121</v>
      </c>
      <c r="J32" t="s">
        <v>146</v>
      </c>
      <c r="K32" t="s">
        <v>267</v>
      </c>
      <c r="L32" t="s">
        <v>148</v>
      </c>
      <c r="M32" t="s">
        <v>149</v>
      </c>
    </row>
    <row r="33" spans="1:13" x14ac:dyDescent="0.3">
      <c r="A33" t="s">
        <v>135</v>
      </c>
      <c r="B33">
        <v>22320210</v>
      </c>
      <c r="C33" s="38">
        <v>5239005293</v>
      </c>
      <c r="D33" s="1">
        <v>523901001</v>
      </c>
      <c r="E33" s="1" t="s">
        <v>50</v>
      </c>
      <c r="F33" s="1" t="s">
        <v>51</v>
      </c>
      <c r="G33" s="1" t="s">
        <v>242</v>
      </c>
      <c r="H33" s="1" t="s">
        <v>104</v>
      </c>
      <c r="I33" s="1" t="s">
        <v>120</v>
      </c>
      <c r="J33" t="s">
        <v>150</v>
      </c>
      <c r="K33" t="s">
        <v>258</v>
      </c>
      <c r="L33" t="s">
        <v>148</v>
      </c>
      <c r="M33" t="s">
        <v>149</v>
      </c>
    </row>
    <row r="34" spans="1:13" x14ac:dyDescent="0.3">
      <c r="A34" t="s">
        <v>135</v>
      </c>
      <c r="B34">
        <v>22320216</v>
      </c>
      <c r="C34" s="38">
        <v>5239006434</v>
      </c>
      <c r="D34" s="1">
        <v>523901001</v>
      </c>
      <c r="E34" s="1" t="s">
        <v>52</v>
      </c>
      <c r="F34" s="1" t="s">
        <v>53</v>
      </c>
      <c r="G34" s="1" t="s">
        <v>224</v>
      </c>
      <c r="H34" s="1" t="s">
        <v>105</v>
      </c>
      <c r="I34" s="1" t="s">
        <v>120</v>
      </c>
      <c r="J34" t="s">
        <v>150</v>
      </c>
      <c r="K34" t="s">
        <v>266</v>
      </c>
      <c r="L34" t="s">
        <v>148</v>
      </c>
      <c r="M34" t="s">
        <v>149</v>
      </c>
    </row>
    <row r="35" spans="1:13" x14ac:dyDescent="0.3">
      <c r="A35" t="s">
        <v>136</v>
      </c>
      <c r="B35">
        <v>22320197</v>
      </c>
      <c r="C35" s="38">
        <v>5239005455</v>
      </c>
      <c r="D35" s="1">
        <v>523901001</v>
      </c>
      <c r="E35" s="1" t="s">
        <v>54</v>
      </c>
      <c r="F35" s="1" t="s">
        <v>55</v>
      </c>
      <c r="G35" s="1" t="s">
        <v>243</v>
      </c>
      <c r="H35" s="1" t="s">
        <v>103</v>
      </c>
      <c r="I35" s="1" t="s">
        <v>120</v>
      </c>
      <c r="J35" t="s">
        <v>150</v>
      </c>
      <c r="K35" t="s">
        <v>165</v>
      </c>
      <c r="L35" t="s">
        <v>148</v>
      </c>
      <c r="M35" t="s">
        <v>149</v>
      </c>
    </row>
    <row r="36" spans="1:13" x14ac:dyDescent="0.3">
      <c r="A36" t="s">
        <v>135</v>
      </c>
      <c r="B36">
        <v>22320161</v>
      </c>
      <c r="C36" s="38">
        <v>5239005744</v>
      </c>
      <c r="D36" s="1">
        <v>523901001</v>
      </c>
      <c r="E36" s="1" t="s">
        <v>56</v>
      </c>
      <c r="F36" s="1" t="s">
        <v>57</v>
      </c>
      <c r="G36" s="1" t="s">
        <v>244</v>
      </c>
      <c r="H36" s="1" t="s">
        <v>106</v>
      </c>
      <c r="I36" s="1" t="s">
        <v>120</v>
      </c>
      <c r="J36" t="s">
        <v>203</v>
      </c>
      <c r="K36" t="s">
        <v>166</v>
      </c>
      <c r="L36" t="s">
        <v>148</v>
      </c>
      <c r="M36" t="s">
        <v>167</v>
      </c>
    </row>
    <row r="37" spans="1:13" x14ac:dyDescent="0.3">
      <c r="A37" t="s">
        <v>135</v>
      </c>
      <c r="B37">
        <v>22320150</v>
      </c>
      <c r="C37" s="38">
        <v>5239006498</v>
      </c>
      <c r="D37" s="1">
        <v>523901001</v>
      </c>
      <c r="E37" s="1" t="s">
        <v>58</v>
      </c>
      <c r="F37" s="1" t="s">
        <v>59</v>
      </c>
      <c r="G37" s="1" t="s">
        <v>232</v>
      </c>
      <c r="H37" s="1" t="s">
        <v>107</v>
      </c>
      <c r="I37" s="1" t="s">
        <v>120</v>
      </c>
      <c r="J37" t="s">
        <v>150</v>
      </c>
      <c r="K37" t="s">
        <v>264</v>
      </c>
      <c r="L37" t="s">
        <v>148</v>
      </c>
      <c r="M37" t="s">
        <v>149</v>
      </c>
    </row>
    <row r="38" spans="1:13" x14ac:dyDescent="0.3">
      <c r="A38" t="s">
        <v>135</v>
      </c>
      <c r="B38">
        <v>22320149</v>
      </c>
      <c r="C38" s="38">
        <v>5239005367</v>
      </c>
      <c r="D38" s="1">
        <v>523901001</v>
      </c>
      <c r="E38" s="1" t="s">
        <v>60</v>
      </c>
      <c r="F38" s="1" t="s">
        <v>61</v>
      </c>
      <c r="G38" s="1" t="s">
        <v>245</v>
      </c>
      <c r="H38" s="1" t="s">
        <v>83</v>
      </c>
      <c r="I38" s="1" t="s">
        <v>120</v>
      </c>
      <c r="J38" t="s">
        <v>218</v>
      </c>
      <c r="K38" t="s">
        <v>852</v>
      </c>
      <c r="L38" t="s">
        <v>148</v>
      </c>
      <c r="M38" t="s">
        <v>168</v>
      </c>
    </row>
    <row r="39" spans="1:13" x14ac:dyDescent="0.3">
      <c r="A39" t="s">
        <v>135</v>
      </c>
      <c r="B39">
        <v>22320144</v>
      </c>
      <c r="C39" s="38">
        <v>5239006561</v>
      </c>
      <c r="D39" s="1">
        <v>523901001</v>
      </c>
      <c r="E39" s="1" t="s">
        <v>62</v>
      </c>
      <c r="F39" s="1" t="s">
        <v>63</v>
      </c>
      <c r="G39" s="1" t="s">
        <v>246</v>
      </c>
      <c r="H39" s="1" t="s">
        <v>108</v>
      </c>
      <c r="I39" s="1" t="s">
        <v>120</v>
      </c>
      <c r="J39" t="s">
        <v>150</v>
      </c>
      <c r="K39" t="s">
        <v>169</v>
      </c>
      <c r="L39" t="s">
        <v>148</v>
      </c>
      <c r="M39" t="s">
        <v>170</v>
      </c>
    </row>
    <row r="40" spans="1:13" x14ac:dyDescent="0.3">
      <c r="A40" t="s">
        <v>135</v>
      </c>
      <c r="B40">
        <v>22320171</v>
      </c>
      <c r="C40" s="38">
        <v>5239005381</v>
      </c>
      <c r="D40" s="1">
        <v>523901001</v>
      </c>
      <c r="E40" s="1" t="s">
        <v>64</v>
      </c>
      <c r="F40" s="1" t="s">
        <v>65</v>
      </c>
      <c r="G40" s="1">
        <v>39234851</v>
      </c>
      <c r="H40" s="1" t="s">
        <v>109</v>
      </c>
      <c r="I40" s="1" t="s">
        <v>120</v>
      </c>
      <c r="J40" t="s">
        <v>854</v>
      </c>
      <c r="K40" t="s">
        <v>855</v>
      </c>
      <c r="L40" t="s">
        <v>148</v>
      </c>
      <c r="M40" t="s">
        <v>149</v>
      </c>
    </row>
    <row r="41" spans="1:13" x14ac:dyDescent="0.3">
      <c r="A41" t="s">
        <v>135</v>
      </c>
      <c r="B41">
        <v>22320166</v>
      </c>
      <c r="C41" s="38">
        <v>5239005007</v>
      </c>
      <c r="D41" s="1">
        <v>523901001</v>
      </c>
      <c r="E41" s="1" t="s">
        <v>66</v>
      </c>
      <c r="F41" s="1" t="s">
        <v>67</v>
      </c>
      <c r="G41" s="1" t="s">
        <v>247</v>
      </c>
      <c r="H41" s="1" t="s">
        <v>110</v>
      </c>
      <c r="I41" s="1" t="s">
        <v>120</v>
      </c>
      <c r="J41" t="s">
        <v>150</v>
      </c>
      <c r="K41" t="s">
        <v>262</v>
      </c>
      <c r="L41" t="s">
        <v>148</v>
      </c>
      <c r="M41" t="s">
        <v>164</v>
      </c>
    </row>
    <row r="42" spans="1:13" x14ac:dyDescent="0.3">
      <c r="A42" t="s">
        <v>135</v>
      </c>
      <c r="B42">
        <v>22320167</v>
      </c>
      <c r="C42" s="38">
        <v>5239005374</v>
      </c>
      <c r="D42" s="1">
        <v>523901001</v>
      </c>
      <c r="E42" s="1" t="s">
        <v>68</v>
      </c>
      <c r="F42" s="1" t="s">
        <v>69</v>
      </c>
      <c r="G42" s="1" t="s">
        <v>249</v>
      </c>
      <c r="H42" s="1" t="s">
        <v>111</v>
      </c>
      <c r="I42" s="1" t="s">
        <v>120</v>
      </c>
      <c r="J42" t="s">
        <v>150</v>
      </c>
      <c r="K42" t="s">
        <v>265</v>
      </c>
      <c r="L42" t="s">
        <v>148</v>
      </c>
      <c r="M42" t="s">
        <v>722</v>
      </c>
    </row>
    <row r="43" spans="1:13" x14ac:dyDescent="0.3">
      <c r="A43" t="s">
        <v>133</v>
      </c>
      <c r="B43">
        <v>22320250</v>
      </c>
      <c r="C43" s="38">
        <v>5239001644</v>
      </c>
      <c r="D43" s="1">
        <v>523901001</v>
      </c>
      <c r="E43" s="1" t="s">
        <v>776</v>
      </c>
      <c r="F43" s="1" t="s">
        <v>775</v>
      </c>
      <c r="G43" s="1" t="s">
        <v>250</v>
      </c>
      <c r="H43" s="1" t="s">
        <v>112</v>
      </c>
      <c r="I43" s="1" t="s">
        <v>121</v>
      </c>
      <c r="J43" t="s">
        <v>780</v>
      </c>
      <c r="K43" t="s">
        <v>781</v>
      </c>
      <c r="L43" t="s">
        <v>148</v>
      </c>
      <c r="M43" t="s">
        <v>782</v>
      </c>
    </row>
    <row r="44" spans="1:13" x14ac:dyDescent="0.3">
      <c r="A44" t="s">
        <v>135</v>
      </c>
      <c r="B44">
        <v>22320215</v>
      </c>
      <c r="C44" s="38">
        <v>5239005543</v>
      </c>
      <c r="D44" s="1">
        <v>523901001</v>
      </c>
      <c r="E44" s="1" t="s">
        <v>922</v>
      </c>
      <c r="F44" s="1" t="s">
        <v>923</v>
      </c>
      <c r="G44" s="1" t="s">
        <v>251</v>
      </c>
      <c r="H44" s="1" t="s">
        <v>113</v>
      </c>
      <c r="I44" s="1" t="s">
        <v>121</v>
      </c>
      <c r="J44" t="s">
        <v>856</v>
      </c>
      <c r="K44" t="s">
        <v>879</v>
      </c>
      <c r="L44" t="s">
        <v>148</v>
      </c>
      <c r="M44" t="s">
        <v>924</v>
      </c>
    </row>
    <row r="45" spans="1:13" x14ac:dyDescent="0.3">
      <c r="A45" t="s">
        <v>194</v>
      </c>
      <c r="B45" s="32" t="s">
        <v>212</v>
      </c>
      <c r="C45" s="38">
        <v>5239006811</v>
      </c>
      <c r="D45" s="1">
        <v>523901001</v>
      </c>
      <c r="E45" s="1" t="s">
        <v>70</v>
      </c>
      <c r="F45" s="1" t="s">
        <v>71</v>
      </c>
      <c r="G45" s="1" t="s">
        <v>252</v>
      </c>
      <c r="H45" s="1" t="s">
        <v>103</v>
      </c>
      <c r="I45" s="1" t="s">
        <v>120</v>
      </c>
      <c r="J45" t="s">
        <v>150</v>
      </c>
      <c r="K45" t="s">
        <v>171</v>
      </c>
      <c r="L45" t="s">
        <v>148</v>
      </c>
      <c r="M45" t="s">
        <v>193</v>
      </c>
    </row>
    <row r="46" spans="1:13" x14ac:dyDescent="0.3">
      <c r="A46" t="s">
        <v>130</v>
      </c>
      <c r="B46" s="32" t="s">
        <v>209</v>
      </c>
      <c r="C46" s="38">
        <v>5239006995</v>
      </c>
      <c r="D46" s="1">
        <v>523901001</v>
      </c>
      <c r="E46" s="1" t="s">
        <v>72</v>
      </c>
      <c r="F46" s="1" t="s">
        <v>73</v>
      </c>
      <c r="G46" s="1" t="s">
        <v>253</v>
      </c>
      <c r="H46" s="1" t="s">
        <v>559</v>
      </c>
      <c r="I46" s="1" t="s">
        <v>120</v>
      </c>
      <c r="J46" t="s">
        <v>150</v>
      </c>
      <c r="K46" t="s">
        <v>172</v>
      </c>
      <c r="L46" t="s">
        <v>148</v>
      </c>
      <c r="M46" t="s">
        <v>193</v>
      </c>
    </row>
    <row r="47" spans="1:13" x14ac:dyDescent="0.3">
      <c r="A47" t="s">
        <v>131</v>
      </c>
      <c r="B47" s="32" t="s">
        <v>210</v>
      </c>
      <c r="C47" s="38">
        <v>5239007011</v>
      </c>
      <c r="D47" s="1">
        <v>523901001</v>
      </c>
      <c r="E47" s="1" t="s">
        <v>74</v>
      </c>
      <c r="F47" s="1" t="s">
        <v>75</v>
      </c>
      <c r="G47" s="1" t="s">
        <v>254</v>
      </c>
      <c r="H47" s="1" t="s">
        <v>114</v>
      </c>
      <c r="I47" s="1" t="s">
        <v>120</v>
      </c>
      <c r="J47" t="s">
        <v>150</v>
      </c>
      <c r="K47" t="s">
        <v>173</v>
      </c>
      <c r="L47" t="s">
        <v>148</v>
      </c>
      <c r="M47" t="s">
        <v>157</v>
      </c>
    </row>
    <row r="48" spans="1:13" x14ac:dyDescent="0.3">
      <c r="A48" t="s">
        <v>131</v>
      </c>
      <c r="B48" s="32" t="s">
        <v>214</v>
      </c>
      <c r="C48" s="38">
        <v>5239006321</v>
      </c>
      <c r="D48" s="1">
        <v>523901001</v>
      </c>
      <c r="E48" s="1" t="s">
        <v>76</v>
      </c>
      <c r="F48" s="1" t="s">
        <v>77</v>
      </c>
      <c r="G48" s="1" t="s">
        <v>255</v>
      </c>
      <c r="H48" s="1" t="s">
        <v>115</v>
      </c>
      <c r="I48" s="1" t="s">
        <v>120</v>
      </c>
      <c r="J48" t="s">
        <v>150</v>
      </c>
      <c r="K48" t="s">
        <v>174</v>
      </c>
      <c r="L48" t="s">
        <v>148</v>
      </c>
      <c r="M48" t="s">
        <v>157</v>
      </c>
    </row>
    <row r="49" spans="1:13" x14ac:dyDescent="0.3">
      <c r="A49" t="s">
        <v>131</v>
      </c>
      <c r="B49" s="32" t="s">
        <v>208</v>
      </c>
      <c r="C49" s="38">
        <v>5239006723</v>
      </c>
      <c r="D49" s="1">
        <v>523901001</v>
      </c>
      <c r="E49" s="1" t="s">
        <v>78</v>
      </c>
      <c r="F49" s="1" t="s">
        <v>79</v>
      </c>
      <c r="G49" s="1" t="s">
        <v>256</v>
      </c>
      <c r="H49" s="1" t="s">
        <v>116</v>
      </c>
      <c r="I49" s="1" t="s">
        <v>120</v>
      </c>
      <c r="J49" t="s">
        <v>150</v>
      </c>
      <c r="K49" t="s">
        <v>175</v>
      </c>
      <c r="L49" t="s">
        <v>148</v>
      </c>
      <c r="M49" t="s">
        <v>157</v>
      </c>
    </row>
    <row r="50" spans="1:13" x14ac:dyDescent="0.3">
      <c r="A50" t="s">
        <v>131</v>
      </c>
      <c r="B50" s="32" t="s">
        <v>213</v>
      </c>
      <c r="C50" s="38">
        <v>5239006280</v>
      </c>
      <c r="D50" s="1">
        <v>523901001</v>
      </c>
      <c r="E50" s="1" t="s">
        <v>80</v>
      </c>
      <c r="F50" s="1" t="s">
        <v>81</v>
      </c>
      <c r="G50" s="1">
        <v>55087132</v>
      </c>
      <c r="H50" s="1" t="s">
        <v>117</v>
      </c>
      <c r="I50" s="1" t="s">
        <v>120</v>
      </c>
      <c r="J50" t="s">
        <v>150</v>
      </c>
      <c r="K50" t="s">
        <v>176</v>
      </c>
      <c r="L50" t="s">
        <v>162</v>
      </c>
      <c r="M50" t="s">
        <v>157</v>
      </c>
    </row>
    <row r="51" spans="1:13" x14ac:dyDescent="0.3">
      <c r="A51" t="s">
        <v>129</v>
      </c>
      <c r="B51" s="37" t="s">
        <v>211</v>
      </c>
      <c r="C51" s="38">
        <v>5239010906</v>
      </c>
      <c r="D51" s="1">
        <v>523901001</v>
      </c>
      <c r="E51" s="1" t="s">
        <v>259</v>
      </c>
      <c r="F51" s="1" t="s">
        <v>49</v>
      </c>
      <c r="G51" s="1" t="s">
        <v>248</v>
      </c>
      <c r="H51" s="1" t="s">
        <v>260</v>
      </c>
      <c r="I51" s="1" t="s">
        <v>120</v>
      </c>
      <c r="J51" s="34" t="s">
        <v>150</v>
      </c>
      <c r="K51" s="34" t="s">
        <v>816</v>
      </c>
      <c r="L51" s="34" t="s">
        <v>148</v>
      </c>
      <c r="M51" s="34" t="s">
        <v>193</v>
      </c>
    </row>
    <row r="52" spans="1:13" x14ac:dyDescent="0.3">
      <c r="A52" t="s">
        <v>195</v>
      </c>
      <c r="B52">
        <v>22320154</v>
      </c>
      <c r="C52" s="38">
        <v>5239006988</v>
      </c>
      <c r="D52" s="1">
        <v>523901001</v>
      </c>
      <c r="E52" s="1" t="s">
        <v>713</v>
      </c>
      <c r="F52" s="1" t="s">
        <v>777</v>
      </c>
      <c r="G52" s="1" t="s">
        <v>257</v>
      </c>
      <c r="H52" s="1" t="s">
        <v>118</v>
      </c>
      <c r="I52" s="1" t="s">
        <v>120</v>
      </c>
      <c r="J52" t="s">
        <v>150</v>
      </c>
      <c r="K52" t="s">
        <v>783</v>
      </c>
      <c r="L52" t="s">
        <v>148</v>
      </c>
      <c r="M52" t="s">
        <v>784</v>
      </c>
    </row>
  </sheetData>
  <sheetProtection algorithmName="SHA-512" hashValue="ILEl1LGZ42a/NGuW5oSqkx9a+j14nS3ec8zFrMZuCd+t5M6yy18SI/JpCs1f7qAxSH8SsRQfNYwbXvn1HiMXMQ==" saltValue="AYwUbYSFmxZfSx2eCH0pnA==" spinCount="100000" sheet="1" objects="1" scenarios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A14:A52">
      <formula1>$A$3:$A$12</formula1>
    </dataValidation>
    <dataValidation type="list" allowBlank="1" showInputMessage="1" showErrorMessage="1" sqref="I14:I52">
      <formula1>$C$1:$D$1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M1163"/>
  <sheetViews>
    <sheetView zoomScaleNormal="100" workbookViewId="0">
      <pane xSplit="9" ySplit="3" topLeftCell="J976" activePane="bottomRight" state="frozen"/>
      <selection pane="topRight" activeCell="J1" sqref="J1"/>
      <selection pane="bottomLeft" activeCell="A4" sqref="A4"/>
      <selection pane="bottomRight" activeCell="F991" sqref="F991"/>
    </sheetView>
  </sheetViews>
  <sheetFormatPr defaultColWidth="9.109375" defaultRowHeight="14.4" x14ac:dyDescent="0.3"/>
  <cols>
    <col min="1" max="1" width="13.6640625" style="48" bestFit="1" customWidth="1"/>
    <col min="2" max="2" width="9.109375" style="48" customWidth="1"/>
    <col min="3" max="3" width="8.5546875" style="48" bestFit="1" customWidth="1"/>
    <col min="4" max="4" width="26" style="48" bestFit="1" customWidth="1"/>
    <col min="5" max="5" width="33.109375" style="92" bestFit="1" customWidth="1"/>
    <col min="6" max="6" width="6.6640625" style="93" bestFit="1" customWidth="1"/>
    <col min="7" max="7" width="17.44140625" style="93" customWidth="1"/>
    <col min="8" max="8" width="5.88671875" style="17" bestFit="1" customWidth="1"/>
    <col min="9" max="9" width="12.6640625" style="93" customWidth="1"/>
    <col min="10" max="11" width="9.109375" style="48"/>
    <col min="12" max="12" width="13.77734375" style="48" bestFit="1" customWidth="1"/>
    <col min="13" max="13" width="15.21875" style="48" bestFit="1" customWidth="1"/>
    <col min="14" max="16384" width="9.109375" style="48"/>
  </cols>
  <sheetData>
    <row r="1" spans="1:13" x14ac:dyDescent="0.3">
      <c r="A1" s="94"/>
      <c r="D1" s="100" t="s">
        <v>903</v>
      </c>
      <c r="E1" s="101" t="s">
        <v>646</v>
      </c>
    </row>
    <row r="2" spans="1:13" s="93" customFormat="1" x14ac:dyDescent="0.3">
      <c r="D2" s="100" t="s">
        <v>904</v>
      </c>
      <c r="E2" s="101" t="s">
        <v>647</v>
      </c>
      <c r="F2" s="93" t="s">
        <v>12</v>
      </c>
      <c r="G2" s="93" t="s">
        <v>179</v>
      </c>
      <c r="H2" s="17" t="s">
        <v>180</v>
      </c>
      <c r="I2" s="543" t="s">
        <v>589</v>
      </c>
    </row>
    <row r="3" spans="1:13" s="93" customFormat="1" x14ac:dyDescent="0.3">
      <c r="A3" s="93" t="s">
        <v>191</v>
      </c>
      <c r="D3" s="93" t="s">
        <v>128</v>
      </c>
      <c r="G3" s="93" t="s">
        <v>178</v>
      </c>
      <c r="H3" s="17"/>
      <c r="I3" s="544"/>
      <c r="J3" s="93" t="s">
        <v>749</v>
      </c>
      <c r="K3" s="93" t="s">
        <v>750</v>
      </c>
      <c r="L3" s="93" t="s">
        <v>910</v>
      </c>
      <c r="M3" s="93" t="s">
        <v>911</v>
      </c>
    </row>
    <row r="4" spans="1:13" x14ac:dyDescent="0.3">
      <c r="A4" s="48">
        <f>ROW()</f>
        <v>4</v>
      </c>
      <c r="B4" s="48" t="s">
        <v>703</v>
      </c>
      <c r="C4" s="48" t="s">
        <v>704</v>
      </c>
      <c r="D4" s="48" t="str">
        <f>CONCATENATE(УЧРЕЖДЕНИЯ!$A$3)</f>
        <v>Детсад</v>
      </c>
      <c r="E4" s="92" t="s">
        <v>327</v>
      </c>
      <c r="F4" s="95">
        <v>131</v>
      </c>
      <c r="G4" s="95">
        <v>130</v>
      </c>
      <c r="H4" s="17" t="s">
        <v>181</v>
      </c>
      <c r="I4" s="93" t="str">
        <f>IF(OR(F4=152,F4=162,F4=510),IF((OR(LEFT(RIGHT(E4,13),1)={"A","D","E","F","G","I","L","N","P","R","S","T","V"})),"Ф",""),"")</f>
        <v/>
      </c>
      <c r="J4" s="48">
        <v>1</v>
      </c>
      <c r="K4" s="48" t="s">
        <v>751</v>
      </c>
      <c r="L4" s="48">
        <v>2021</v>
      </c>
      <c r="M4" s="48">
        <v>2022</v>
      </c>
    </row>
    <row r="5" spans="1:13" x14ac:dyDescent="0.3">
      <c r="D5" s="48" t="str">
        <f>CONCATENATE(УЧРЕЖДЕНИЯ!$A$3)</f>
        <v>Детсад</v>
      </c>
      <c r="E5" s="92" t="s">
        <v>328</v>
      </c>
      <c r="F5" s="95">
        <v>211</v>
      </c>
      <c r="G5" s="95">
        <v>111</v>
      </c>
      <c r="H5" s="17" t="s">
        <v>181</v>
      </c>
      <c r="I5" s="93" t="str">
        <f>IF(OR(F5=152,F5=162,F5=510),IF((OR(LEFT(RIGHT(E5,13),1)={"A","D","E","F","G","I","L","N","P","R","S","T","V"})),"Ф",""),"")</f>
        <v/>
      </c>
      <c r="J5" s="48">
        <v>2</v>
      </c>
      <c r="K5" s="48" t="s">
        <v>752</v>
      </c>
      <c r="L5" s="48">
        <v>2022</v>
      </c>
      <c r="M5" s="48">
        <v>2023</v>
      </c>
    </row>
    <row r="6" spans="1:13" x14ac:dyDescent="0.3">
      <c r="D6" s="48" t="str">
        <f>CONCATENATE(УЧРЕЖДЕНИЯ!$A$3)</f>
        <v>Детсад</v>
      </c>
      <c r="E6" s="92" t="s">
        <v>329</v>
      </c>
      <c r="F6" s="95">
        <v>212</v>
      </c>
      <c r="G6" s="95">
        <v>112</v>
      </c>
      <c r="H6" s="17" t="s">
        <v>181</v>
      </c>
      <c r="I6" s="93" t="str">
        <f>IF(OR(F6=152,F6=162,F6=510),IF((OR(LEFT(RIGHT(E6,13),1)={"A","D","E","F","G","I","L","N","P","R","S","T","V"})),"Ф",""),"")</f>
        <v/>
      </c>
      <c r="J6" s="48">
        <v>3</v>
      </c>
      <c r="K6" s="48" t="s">
        <v>753</v>
      </c>
      <c r="L6" s="48">
        <v>2023</v>
      </c>
      <c r="M6" s="48">
        <v>2024</v>
      </c>
    </row>
    <row r="7" spans="1:13" x14ac:dyDescent="0.3">
      <c r="D7" s="48" t="str">
        <f>CONCATENATE(УЧРЕЖДЕНИЯ!$A$3)</f>
        <v>Детсад</v>
      </c>
      <c r="E7" s="92" t="s">
        <v>330</v>
      </c>
      <c r="F7" s="95">
        <v>213</v>
      </c>
      <c r="G7" s="95">
        <v>119</v>
      </c>
      <c r="H7" s="17" t="s">
        <v>181</v>
      </c>
      <c r="I7" s="93" t="str">
        <f>IF(OR(F7=152,F7=162,F7=510),IF((OR(LEFT(RIGHT(E7,13),1)={"A","D","E","F","G","I","L","N","P","R","S","T","V"})),"Ф",""),"")</f>
        <v/>
      </c>
      <c r="J7" s="48">
        <v>4</v>
      </c>
      <c r="K7" s="48" t="s">
        <v>747</v>
      </c>
      <c r="L7" s="48">
        <v>2024</v>
      </c>
      <c r="M7" s="48">
        <v>2025</v>
      </c>
    </row>
    <row r="8" spans="1:13" x14ac:dyDescent="0.3">
      <c r="D8" s="48" t="str">
        <f>CONCATENATE(УЧРЕЖДЕНИЯ!$A$3)</f>
        <v>Детсад</v>
      </c>
      <c r="E8" s="92" t="s">
        <v>331</v>
      </c>
      <c r="F8" s="95">
        <v>221</v>
      </c>
      <c r="G8" s="95">
        <v>244</v>
      </c>
      <c r="H8" s="17" t="s">
        <v>181</v>
      </c>
      <c r="I8" s="93" t="str">
        <f>IF(OR(F8=152,F8=162,F8=510),IF((OR(LEFT(RIGHT(E8,13),1)={"A","D","E","F","G","I","L","N","P","R","S","T","V"})),"Ф",""),"")</f>
        <v/>
      </c>
      <c r="J8" s="48">
        <v>5</v>
      </c>
      <c r="K8" s="48" t="s">
        <v>754</v>
      </c>
      <c r="L8" s="48">
        <v>2025</v>
      </c>
      <c r="M8" s="48">
        <v>2026</v>
      </c>
    </row>
    <row r="9" spans="1:13" x14ac:dyDescent="0.3">
      <c r="D9" s="48" t="str">
        <f>CONCATENATE(УЧРЕЖДЕНИЯ!$A$3)</f>
        <v>Детсад</v>
      </c>
      <c r="E9" s="92" t="s">
        <v>331</v>
      </c>
      <c r="F9" s="95">
        <v>222</v>
      </c>
      <c r="G9" s="95">
        <v>244</v>
      </c>
      <c r="H9" s="17" t="s">
        <v>181</v>
      </c>
      <c r="I9" s="93" t="str">
        <f>IF(OR(F9=152,F9=162,F9=510),IF((OR(LEFT(RIGHT(E9,13),1)={"A","D","E","F","G","I","L","N","P","R","S","T","V"})),"Ф",""),"")</f>
        <v/>
      </c>
      <c r="J9" s="48">
        <v>6</v>
      </c>
      <c r="K9" s="48" t="s">
        <v>755</v>
      </c>
      <c r="L9" s="48">
        <v>2026</v>
      </c>
      <c r="M9" s="48">
        <v>2027</v>
      </c>
    </row>
    <row r="10" spans="1:13" x14ac:dyDescent="0.3">
      <c r="D10" s="48" t="str">
        <f>CONCATENATE(УЧРЕЖДЕНИЯ!$A$3)</f>
        <v>Детсад</v>
      </c>
      <c r="E10" s="92" t="s">
        <v>332</v>
      </c>
      <c r="F10" s="95">
        <v>2233</v>
      </c>
      <c r="G10" s="95">
        <v>244</v>
      </c>
      <c r="H10" s="17" t="s">
        <v>181</v>
      </c>
      <c r="I10" s="93" t="str">
        <f>IF(OR(F10=152,F10=162,F10=510),IF((OR(LEFT(RIGHT(E10,13),1)={"A","D","E","F","G","I","L","N","P","R","S","T","V"})),"Ф",""),"")</f>
        <v/>
      </c>
      <c r="J10" s="48">
        <v>7</v>
      </c>
      <c r="K10" s="48" t="s">
        <v>756</v>
      </c>
      <c r="L10" s="48">
        <v>2027</v>
      </c>
      <c r="M10" s="48">
        <v>2028</v>
      </c>
    </row>
    <row r="11" spans="1:13" x14ac:dyDescent="0.3">
      <c r="D11" s="48" t="str">
        <f>CONCATENATE(УЧРЕЖДЕНИЯ!$A$3)</f>
        <v>Детсад</v>
      </c>
      <c r="E11" s="92" t="s">
        <v>331</v>
      </c>
      <c r="F11" s="95">
        <v>224</v>
      </c>
      <c r="G11" s="95">
        <v>244</v>
      </c>
      <c r="H11" s="17" t="s">
        <v>181</v>
      </c>
      <c r="I11" s="93" t="str">
        <f>IF(OR(F11=152,F11=162,F11=510),IF((OR(LEFT(RIGHT(E11,13),1)={"A","D","E","F","G","I","L","N","P","R","S","T","V"})),"Ф",""),"")</f>
        <v/>
      </c>
      <c r="J11" s="48">
        <v>8</v>
      </c>
      <c r="K11" s="48" t="s">
        <v>757</v>
      </c>
      <c r="L11" s="48">
        <v>2028</v>
      </c>
      <c r="M11" s="48">
        <v>2029</v>
      </c>
    </row>
    <row r="12" spans="1:13" x14ac:dyDescent="0.3">
      <c r="D12" s="48" t="str">
        <f>CONCATENATE(УЧРЕЖДЕНИЯ!$A$3)</f>
        <v>Детсад</v>
      </c>
      <c r="E12" s="92" t="s">
        <v>331</v>
      </c>
      <c r="F12" s="95">
        <v>225</v>
      </c>
      <c r="G12" s="95">
        <v>244</v>
      </c>
      <c r="H12" s="17" t="s">
        <v>181</v>
      </c>
      <c r="I12" s="93" t="str">
        <f>IF(OR(F12=152,F12=162,F12=510),IF((OR(LEFT(RIGHT(E12,13),1)={"A","D","E","F","G","I","L","N","P","R","S","T","V"})),"Ф",""),"")</f>
        <v/>
      </c>
      <c r="J12" s="48">
        <v>9</v>
      </c>
      <c r="K12" s="48" t="s">
        <v>758</v>
      </c>
      <c r="L12" s="48">
        <v>2029</v>
      </c>
      <c r="M12" s="48">
        <v>2030</v>
      </c>
    </row>
    <row r="13" spans="1:13" x14ac:dyDescent="0.3">
      <c r="D13" s="48" t="str">
        <f>CONCATENATE(УЧРЕЖДЕНИЯ!$A$3)</f>
        <v>Детсад</v>
      </c>
      <c r="E13" s="92" t="s">
        <v>331</v>
      </c>
      <c r="F13" s="95">
        <v>226</v>
      </c>
      <c r="G13" s="95">
        <v>244</v>
      </c>
      <c r="H13" s="17" t="s">
        <v>181</v>
      </c>
      <c r="I13" s="93" t="str">
        <f>IF(OR(F13=152,F13=162,F13=510),IF((OR(LEFT(RIGHT(E13,13),1)={"A","D","E","F","G","I","L","N","P","R","S","T","V"})),"Ф",""),"")</f>
        <v/>
      </c>
      <c r="J13" s="48">
        <v>10</v>
      </c>
      <c r="K13" s="48" t="s">
        <v>759</v>
      </c>
      <c r="L13" s="48">
        <v>2030</v>
      </c>
      <c r="M13" s="48">
        <v>2031</v>
      </c>
    </row>
    <row r="14" spans="1:13" x14ac:dyDescent="0.3">
      <c r="D14" s="48" t="str">
        <f>CONCATENATE(УЧРЕЖДЕНИЯ!$A$3)</f>
        <v>Детсад</v>
      </c>
      <c r="E14" s="92" t="s">
        <v>331</v>
      </c>
      <c r="F14" s="95">
        <v>310</v>
      </c>
      <c r="G14" s="95">
        <v>244</v>
      </c>
      <c r="H14" s="17" t="s">
        <v>181</v>
      </c>
      <c r="I14" s="93" t="str">
        <f>IF(OR(F14=152,F14=162,F14=510),IF((OR(LEFT(RIGHT(E14,13),1)={"A","D","E","F","G","I","L","N","P","R","S","T","V"})),"Ф",""),"")</f>
        <v/>
      </c>
      <c r="J14" s="48">
        <v>11</v>
      </c>
      <c r="K14" s="48" t="s">
        <v>760</v>
      </c>
      <c r="L14" s="48">
        <v>2031</v>
      </c>
      <c r="M14" s="48">
        <v>2032</v>
      </c>
    </row>
    <row r="15" spans="1:13" x14ac:dyDescent="0.3">
      <c r="D15" s="48" t="str">
        <f>CONCATENATE(УЧРЕЖДЕНИЯ!$A$3)</f>
        <v>Детсад</v>
      </c>
      <c r="E15" s="92" t="s">
        <v>331</v>
      </c>
      <c r="F15" s="95">
        <v>341</v>
      </c>
      <c r="G15" s="95">
        <v>244</v>
      </c>
      <c r="H15" s="17" t="s">
        <v>181</v>
      </c>
      <c r="I15" s="93" t="str">
        <f>IF(OR(F15=152,F15=162,F15=510),IF((OR(LEFT(RIGHT(E15,13),1)={"A","D","E","F","G","I","L","N","P","R","S","T","V"})),"Ф",""),"")</f>
        <v/>
      </c>
      <c r="J15" s="48">
        <v>12</v>
      </c>
      <c r="K15" s="48" t="s">
        <v>761</v>
      </c>
      <c r="L15" s="48">
        <v>2032</v>
      </c>
      <c r="M15" s="48">
        <v>2033</v>
      </c>
    </row>
    <row r="16" spans="1:13" x14ac:dyDescent="0.3">
      <c r="D16" s="48" t="str">
        <f>CONCATENATE(УЧРЕЖДЕНИЯ!$A$3)</f>
        <v>Детсад</v>
      </c>
      <c r="E16" s="92" t="s">
        <v>331</v>
      </c>
      <c r="F16" s="95">
        <v>342</v>
      </c>
      <c r="G16" s="95">
        <v>244</v>
      </c>
      <c r="H16" s="17" t="s">
        <v>181</v>
      </c>
      <c r="I16" s="93" t="str">
        <f>IF(OR(F16=152,F16=162,F16=510),IF((OR(LEFT(RIGHT(E16,13),1)={"A","D","E","F","G","I","L","N","P","R","S","T","V"})),"Ф",""),"")</f>
        <v/>
      </c>
      <c r="J16" s="48">
        <v>13</v>
      </c>
    </row>
    <row r="17" spans="4:10" x14ac:dyDescent="0.3">
      <c r="D17" s="48" t="str">
        <f>CONCATENATE(УЧРЕЖДЕНИЯ!$A$3)</f>
        <v>Детсад</v>
      </c>
      <c r="E17" s="92" t="s">
        <v>331</v>
      </c>
      <c r="F17" s="95">
        <v>344</v>
      </c>
      <c r="G17" s="95">
        <v>244</v>
      </c>
      <c r="H17" s="17" t="s">
        <v>181</v>
      </c>
      <c r="I17" s="93" t="str">
        <f>IF(OR(F17=152,F17=162,F17=510),IF((OR(LEFT(RIGHT(E17,13),1)={"A","D","E","F","G","I","L","N","P","R","S","T","V"})),"Ф",""),"")</f>
        <v/>
      </c>
      <c r="J17" s="48">
        <v>14</v>
      </c>
    </row>
    <row r="18" spans="4:10" x14ac:dyDescent="0.3">
      <c r="D18" s="48" t="str">
        <f>CONCATENATE(УЧРЕЖДЕНИЯ!$A$3)</f>
        <v>Детсад</v>
      </c>
      <c r="E18" s="92" t="s">
        <v>331</v>
      </c>
      <c r="F18" s="95">
        <v>345</v>
      </c>
      <c r="G18" s="95">
        <v>244</v>
      </c>
      <c r="H18" s="17" t="s">
        <v>181</v>
      </c>
      <c r="I18" s="93" t="str">
        <f>IF(OR(F18=152,F18=162,F18=510),IF((OR(LEFT(RIGHT(E18,13),1)={"A","D","E","F","G","I","L","N","P","R","S","T","V"})),"Ф",""),"")</f>
        <v/>
      </c>
      <c r="J18" s="48">
        <v>15</v>
      </c>
    </row>
    <row r="19" spans="4:10" x14ac:dyDescent="0.3">
      <c r="D19" s="48" t="str">
        <f>CONCATENATE(УЧРЕЖДЕНИЯ!$A$3)</f>
        <v>Детсад</v>
      </c>
      <c r="E19" s="92" t="s">
        <v>331</v>
      </c>
      <c r="F19" s="95">
        <v>346</v>
      </c>
      <c r="G19" s="95">
        <v>244</v>
      </c>
      <c r="H19" s="17" t="s">
        <v>181</v>
      </c>
      <c r="I19" s="93" t="str">
        <f>IF(OR(F19=152,F19=162,F19=510),IF((OR(LEFT(RIGHT(E19,13),1)={"A","D","E","F","G","I","L","N","P","R","S","T","V"})),"Ф",""),"")</f>
        <v/>
      </c>
      <c r="J19" s="48">
        <v>16</v>
      </c>
    </row>
    <row r="20" spans="4:10" x14ac:dyDescent="0.3">
      <c r="D20" s="48" t="str">
        <f>CONCATENATE(УЧРЕЖДЕНИЯ!$A$3)</f>
        <v>Детсад</v>
      </c>
      <c r="E20" s="92" t="s">
        <v>331</v>
      </c>
      <c r="F20" s="95">
        <v>349</v>
      </c>
      <c r="G20" s="95">
        <v>244</v>
      </c>
      <c r="H20" s="17" t="s">
        <v>181</v>
      </c>
      <c r="I20" s="93" t="str">
        <f>IF(OR(F20=152,F20=162,F20=510),IF((OR(LEFT(RIGHT(E20,13),1)={"A","D","E","F","G","I","L","N","P","R","S","T","V"})),"Ф",""),"")</f>
        <v/>
      </c>
      <c r="J20" s="48">
        <v>17</v>
      </c>
    </row>
    <row r="21" spans="4:10" x14ac:dyDescent="0.3">
      <c r="D21" s="48" t="str">
        <f>CONCATENATE(УЧРЕЖДЕНИЯ!$A$3)</f>
        <v>Детсад</v>
      </c>
      <c r="E21" s="92" t="s">
        <v>651</v>
      </c>
      <c r="F21" s="95">
        <v>2231</v>
      </c>
      <c r="G21" s="95">
        <v>247</v>
      </c>
      <c r="H21" s="17" t="s">
        <v>181</v>
      </c>
      <c r="I21" s="93" t="str">
        <f>IF(OR(F21=152,F21=162,F21=510),IF((OR(LEFT(RIGHT(E21,13),1)={"A","D","E","F","G","I","L","N","P","R","S","T","V"})),"Ф",""),"")</f>
        <v/>
      </c>
      <c r="J21" s="48">
        <v>19</v>
      </c>
    </row>
    <row r="22" spans="4:10" x14ac:dyDescent="0.3">
      <c r="D22" s="48" t="str">
        <f>CONCATENATE(УЧРЕЖДЕНИЯ!$A$3)</f>
        <v>Детсад</v>
      </c>
      <c r="E22" s="92" t="s">
        <v>663</v>
      </c>
      <c r="F22" s="95">
        <v>2232</v>
      </c>
      <c r="G22" s="95">
        <v>247</v>
      </c>
      <c r="H22" s="17" t="s">
        <v>181</v>
      </c>
      <c r="I22" s="93" t="str">
        <f>IF(OR(F22=152,F22=162,F22=510),IF((OR(LEFT(RIGHT(E22,13),1)={"A","D","E","F","G","I","L","N","P","R","S","T","V"})),"Ф",""),"")</f>
        <v/>
      </c>
      <c r="J22" s="48">
        <v>20</v>
      </c>
    </row>
    <row r="23" spans="4:10" x14ac:dyDescent="0.3">
      <c r="D23" s="48" t="str">
        <f>CONCATENATE(УЧРЕЖДЕНИЯ!$A$3)</f>
        <v>Детсад</v>
      </c>
      <c r="E23" s="92" t="s">
        <v>333</v>
      </c>
      <c r="F23" s="95">
        <v>262</v>
      </c>
      <c r="G23" s="95">
        <v>360</v>
      </c>
      <c r="H23" s="17" t="s">
        <v>181</v>
      </c>
      <c r="I23" s="93" t="str">
        <f>IF(OR(F23=152,F23=162,F23=510),IF((OR(LEFT(RIGHT(E23,13),1)={"A","D","E","F","G","I","L","N","P","R","S","T","V"})),"Ф",""),"")</f>
        <v/>
      </c>
      <c r="J23" s="48">
        <v>21</v>
      </c>
    </row>
    <row r="24" spans="4:10" x14ac:dyDescent="0.3">
      <c r="D24" s="48" t="str">
        <f>CONCATENATE(УЧРЕЖДЕНИЯ!$A$3)</f>
        <v>Детсад</v>
      </c>
      <c r="E24" s="92" t="s">
        <v>326</v>
      </c>
      <c r="F24" s="95">
        <v>510</v>
      </c>
      <c r="G24" s="95">
        <v>510</v>
      </c>
      <c r="H24" s="17" t="s">
        <v>181</v>
      </c>
      <c r="I24" s="93" t="str">
        <f>IF(OR(F24=152,F24=162,F24=510),IF((OR(LEFT(RIGHT(E24,13),1)={"A","D","E","F","G","I","L","N","P","R","S","T","V"})),"Ф",""),"")</f>
        <v/>
      </c>
      <c r="J24" s="48">
        <v>22</v>
      </c>
    </row>
    <row r="25" spans="4:10" x14ac:dyDescent="0.3">
      <c r="D25" s="48" t="str">
        <f>CONCATENATE(УЧРЕЖДЕНИЯ!$A$3)</f>
        <v>Детсад</v>
      </c>
      <c r="E25" s="92" t="s">
        <v>334</v>
      </c>
      <c r="F25" s="95">
        <v>291</v>
      </c>
      <c r="G25" s="95">
        <v>851</v>
      </c>
      <c r="H25" s="17" t="s">
        <v>181</v>
      </c>
      <c r="I25" s="93" t="str">
        <f>IF(OR(F25=152,F25=162,F25=510),IF((OR(LEFT(RIGHT(E25,13),1)={"A","D","E","F","G","I","L","N","P","R","S","T","V"})),"Ф",""),"")</f>
        <v/>
      </c>
      <c r="J25" s="48">
        <v>23</v>
      </c>
    </row>
    <row r="26" spans="4:10" x14ac:dyDescent="0.3">
      <c r="D26" s="48" t="str">
        <f>CONCATENATE(УЧРЕЖДЕНИЯ!$A$3)</f>
        <v>Детсад</v>
      </c>
      <c r="E26" s="92" t="s">
        <v>335</v>
      </c>
      <c r="F26" s="95">
        <v>291</v>
      </c>
      <c r="G26" s="95">
        <v>852</v>
      </c>
      <c r="H26" s="17" t="s">
        <v>181</v>
      </c>
      <c r="I26" s="93" t="str">
        <f>IF(OR(F26=152,F26=162,F26=510),IF((OR(LEFT(RIGHT(E26,13),1)={"A","D","E","F","G","I","L","N","P","R","S","T","V"})),"Ф",""),"")</f>
        <v/>
      </c>
      <c r="J26" s="48">
        <v>24</v>
      </c>
    </row>
    <row r="27" spans="4:10" x14ac:dyDescent="0.3">
      <c r="D27" s="48" t="str">
        <f>CONCATENATE(УЧРЕЖДЕНИЯ!$A$3)</f>
        <v>Детсад</v>
      </c>
      <c r="E27" s="92" t="s">
        <v>336</v>
      </c>
      <c r="F27" s="95">
        <v>292</v>
      </c>
      <c r="G27" s="95">
        <v>853</v>
      </c>
      <c r="H27" s="17" t="s">
        <v>181</v>
      </c>
      <c r="I27" s="93" t="str">
        <f>IF(OR(F27=152,F27=162,F27=510),IF((OR(LEFT(RIGHT(E27,13),1)={"A","D","E","F","G","I","L","N","P","R","S","T","V"})),"Ф",""),"")</f>
        <v/>
      </c>
      <c r="J27" s="48">
        <v>25</v>
      </c>
    </row>
    <row r="28" spans="4:10" x14ac:dyDescent="0.3">
      <c r="D28" s="48" t="str">
        <f>CONCATENATE(УЧРЕЖДЕНИЯ!$A$3)</f>
        <v>Детсад</v>
      </c>
      <c r="E28" s="92" t="s">
        <v>336</v>
      </c>
      <c r="F28" s="95">
        <v>295</v>
      </c>
      <c r="G28" s="95">
        <v>853</v>
      </c>
      <c r="H28" s="17" t="s">
        <v>181</v>
      </c>
      <c r="I28" s="93" t="str">
        <f>IF(OR(F28=152,F28=162,F28=510),IF((OR(LEFT(RIGHT(E28,13),1)={"A","D","E","F","G","I","L","N","P","R","S","T","V"})),"Ф",""),"")</f>
        <v/>
      </c>
      <c r="J28" s="48">
        <v>26</v>
      </c>
    </row>
    <row r="29" spans="4:10" x14ac:dyDescent="0.3">
      <c r="D29" s="48" t="str">
        <f>CONCATENATE(УЧРЕЖДЕНИЯ!$A$3)</f>
        <v>Детсад</v>
      </c>
      <c r="E29" s="92" t="s">
        <v>319</v>
      </c>
      <c r="F29" s="95">
        <v>135</v>
      </c>
      <c r="G29" s="95">
        <v>130</v>
      </c>
      <c r="H29" s="17" t="s">
        <v>181</v>
      </c>
      <c r="I29" s="93" t="str">
        <f>IF(OR(F29=152,F29=162,F29=510),IF((OR(LEFT(RIGHT(E29,13),1)={"A","D","E","F","G","I","L","N","P","R","S","T","V"})),"Ф",""),"")</f>
        <v/>
      </c>
      <c r="J29" s="48">
        <v>27</v>
      </c>
    </row>
    <row r="30" spans="4:10" x14ac:dyDescent="0.3">
      <c r="D30" s="48" t="str">
        <f>CONCATENATE(УЧРЕЖДЕНИЯ!$A$3)</f>
        <v>Детсад</v>
      </c>
      <c r="E30" s="92" t="s">
        <v>851</v>
      </c>
      <c r="F30" s="95">
        <v>2233</v>
      </c>
      <c r="G30" s="95">
        <v>244</v>
      </c>
      <c r="H30" s="17" t="s">
        <v>181</v>
      </c>
      <c r="I30" s="93" t="str">
        <f>IF(OR(F30=152,F30=162,F30=510),IF((OR(LEFT(RIGHT(E30,13),1)={"A","D","E","F","G","I","L","N","P","R","S","T","V"})),"Ф",""),"")</f>
        <v/>
      </c>
      <c r="J30" s="48">
        <v>28</v>
      </c>
    </row>
    <row r="31" spans="4:10" x14ac:dyDescent="0.3">
      <c r="D31" s="48" t="str">
        <f>CONCATENATE(УЧРЕЖДЕНИЯ!$A$3)</f>
        <v>Детсад</v>
      </c>
      <c r="E31" s="92" t="s">
        <v>653</v>
      </c>
      <c r="F31" s="95">
        <v>2231</v>
      </c>
      <c r="G31" s="95">
        <v>247</v>
      </c>
      <c r="H31" s="17" t="s">
        <v>181</v>
      </c>
      <c r="I31" s="93" t="str">
        <f>IF(OR(F31=152,F31=162,F31=510),IF((OR(LEFT(RIGHT(E31,13),1)={"A","D","E","F","G","I","L","N","P","R","S","T","V"})),"Ф",""),"")</f>
        <v/>
      </c>
      <c r="J31" s="48">
        <v>29</v>
      </c>
    </row>
    <row r="32" spans="4:10" x14ac:dyDescent="0.3">
      <c r="D32" s="48" t="str">
        <f>CONCATENATE(УЧРЕЖДЕНИЯ!$A$3)</f>
        <v>Детсад</v>
      </c>
      <c r="E32" s="92" t="s">
        <v>850</v>
      </c>
      <c r="F32" s="95">
        <v>2232</v>
      </c>
      <c r="G32" s="95">
        <v>247</v>
      </c>
      <c r="H32" s="17" t="s">
        <v>181</v>
      </c>
      <c r="I32" s="93" t="str">
        <f>IF(OR(F32=152,F32=162,F32=510),IF((OR(LEFT(RIGHT(E32,13),1)={"A","D","E","F","G","I","L","N","P","R","S","T","V"})),"Ф",""),"")</f>
        <v/>
      </c>
      <c r="J32" s="48">
        <v>30</v>
      </c>
    </row>
    <row r="33" spans="2:10" x14ac:dyDescent="0.3">
      <c r="D33" s="48" t="str">
        <f>CONCATENATE(УЧРЕЖДЕНИЯ!$A$3)</f>
        <v>Детсад</v>
      </c>
      <c r="E33" s="92" t="s">
        <v>340</v>
      </c>
      <c r="F33" s="93">
        <v>510</v>
      </c>
      <c r="G33" s="95">
        <v>510</v>
      </c>
      <c r="H33" s="17" t="s">
        <v>181</v>
      </c>
      <c r="I33" s="93" t="str">
        <f>IF(OR(F33=152,F33=162,F33=510),IF((OR(LEFT(RIGHT(E33,13),1)={"A","D","E","F","G","I","L","N","P","R","S","T","V"})),"Ф",""),"")</f>
        <v/>
      </c>
      <c r="J33" s="48">
        <v>31</v>
      </c>
    </row>
    <row r="34" spans="2:10" x14ac:dyDescent="0.3">
      <c r="D34" s="48" t="str">
        <f>CONCATENATE(УЧРЕЖДЕНИЯ!$A$3)</f>
        <v>Детсад</v>
      </c>
      <c r="E34" s="92" t="s">
        <v>341</v>
      </c>
      <c r="F34" s="93">
        <v>6101</v>
      </c>
      <c r="G34" s="95">
        <v>610</v>
      </c>
      <c r="H34" s="17" t="s">
        <v>181</v>
      </c>
      <c r="I34" s="93" t="str">
        <f>IF(OR(F34=152,F34=162,F34=510),IF((OR(LEFT(RIGHT(E34,13),1)={"A","D","E","F","G","I","L","N","P","R","S","T","V"})),"Ф",""),"")</f>
        <v/>
      </c>
    </row>
    <row r="35" spans="2:10" x14ac:dyDescent="0.3">
      <c r="D35" s="48" t="str">
        <f>CONCATENATE(УЧРЕЖДЕНИЯ!$A$3)</f>
        <v>Детсад</v>
      </c>
      <c r="E35" s="92" t="s">
        <v>343</v>
      </c>
      <c r="F35" s="93">
        <v>155</v>
      </c>
      <c r="G35" s="93">
        <v>150</v>
      </c>
      <c r="H35" s="17" t="s">
        <v>181</v>
      </c>
      <c r="I35" s="93" t="str">
        <f>IF(OR(F35=152,F35=162,F35=510),IF((OR(LEFT(RIGHT(E35,13),1)={"A","D","E","F","G","I","L","N","P","R","S","T","V"})),"Ф",""),"")</f>
        <v/>
      </c>
    </row>
    <row r="36" spans="2:10" x14ac:dyDescent="0.3">
      <c r="D36" s="48" t="str">
        <f>CONCATENATE(УЧРЕЖДЕНИЯ!$A$3)</f>
        <v>Детсад</v>
      </c>
      <c r="E36" s="92" t="s">
        <v>344</v>
      </c>
      <c r="F36" s="93">
        <v>225</v>
      </c>
      <c r="G36" s="93">
        <v>244</v>
      </c>
      <c r="H36" s="17" t="s">
        <v>181</v>
      </c>
      <c r="I36" s="93" t="str">
        <f>IF(OR(F36=152,F36=162,F36=510),IF((OR(LEFT(RIGHT(E36,13),1)={"A","D","E","F","G","I","L","N","P","R","S","T","V"})),"Ф",""),"")</f>
        <v/>
      </c>
    </row>
    <row r="37" spans="2:10" x14ac:dyDescent="0.3">
      <c r="D37" s="48" t="str">
        <f>CONCATENATE(УЧРЕЖДЕНИЯ!$A$3)</f>
        <v>Детсад</v>
      </c>
      <c r="E37" s="92" t="s">
        <v>344</v>
      </c>
      <c r="F37" s="93">
        <v>226</v>
      </c>
      <c r="G37" s="93">
        <v>244</v>
      </c>
      <c r="H37" s="17" t="s">
        <v>181</v>
      </c>
      <c r="I37" s="93" t="str">
        <f>IF(OR(F37=152,F37=162,F37=510),IF((OR(LEFT(RIGHT(E37,13),1)={"A","D","E","F","G","I","L","N","P","R","S","T","V"})),"Ф",""),"")</f>
        <v/>
      </c>
    </row>
    <row r="38" spans="2:10" x14ac:dyDescent="0.3">
      <c r="D38" s="48" t="str">
        <f>CONCATENATE(УЧРЕЖДЕНИЯ!$A$3)</f>
        <v>Детсад</v>
      </c>
      <c r="E38" s="92" t="s">
        <v>344</v>
      </c>
      <c r="F38" s="93">
        <v>310</v>
      </c>
      <c r="G38" s="93">
        <v>244</v>
      </c>
      <c r="H38" s="17" t="s">
        <v>181</v>
      </c>
      <c r="I38" s="93" t="str">
        <f>IF(OR(F38=152,F38=162,F38=510),IF((OR(LEFT(RIGHT(E38,13),1)={"A","D","E","F","G","I","L","N","P","R","S","T","V"})),"Ф",""),"")</f>
        <v/>
      </c>
    </row>
    <row r="39" spans="2:10" x14ac:dyDescent="0.3">
      <c r="D39" s="48" t="str">
        <f>CONCATENATE(УЧРЕЖДЕНИЯ!$A$3)</f>
        <v>Детсад</v>
      </c>
      <c r="E39" s="92" t="s">
        <v>344</v>
      </c>
      <c r="F39" s="93">
        <v>341</v>
      </c>
      <c r="G39" s="93">
        <v>244</v>
      </c>
      <c r="H39" s="17" t="s">
        <v>181</v>
      </c>
      <c r="I39" s="93" t="str">
        <f>IF(OR(F39=152,F39=162,F39=510),IF((OR(LEFT(RIGHT(E39,13),1)={"A","D","E","F","G","I","L","N","P","R","S","T","V"})),"Ф",""),"")</f>
        <v/>
      </c>
    </row>
    <row r="40" spans="2:10" x14ac:dyDescent="0.3">
      <c r="D40" s="48" t="str">
        <f>CONCATENATE(УЧРЕЖДЕНИЯ!$A$3)</f>
        <v>Детсад</v>
      </c>
      <c r="E40" s="92" t="s">
        <v>344</v>
      </c>
      <c r="F40" s="93">
        <v>342</v>
      </c>
      <c r="G40" s="93">
        <v>244</v>
      </c>
      <c r="H40" s="17" t="s">
        <v>181</v>
      </c>
      <c r="I40" s="93" t="str">
        <f>IF(OR(F40=152,F40=162,F40=510),IF((OR(LEFT(RIGHT(E40,13),1)={"A","D","E","F","G","I","L","N","P","R","S","T","V"})),"Ф",""),"")</f>
        <v/>
      </c>
    </row>
    <row r="41" spans="2:10" x14ac:dyDescent="0.3">
      <c r="D41" s="48" t="str">
        <f>CONCATENATE(УЧРЕЖДЕНИЯ!$A$3)</f>
        <v>Детсад</v>
      </c>
      <c r="E41" s="92" t="s">
        <v>342</v>
      </c>
      <c r="F41" s="93">
        <v>510</v>
      </c>
      <c r="G41" s="95">
        <v>510</v>
      </c>
      <c r="H41" s="17" t="s">
        <v>181</v>
      </c>
      <c r="I41" s="93" t="str">
        <f>IF(OR(F41=152,F41=162,F41=510),IF((OR(LEFT(RIGHT(E41,13),1)={"A","D","E","F","G","I","L","N","P","R","S","T","V"})),"Ф",""),"")</f>
        <v/>
      </c>
    </row>
    <row r="42" spans="2:10" x14ac:dyDescent="0.3">
      <c r="B42" s="48" t="s">
        <v>703</v>
      </c>
      <c r="C42" s="48" t="s">
        <v>705</v>
      </c>
      <c r="D42" s="48" t="str">
        <f>CONCATENATE(УЧРЕЖДЕНИЯ!$A$4)</f>
        <v>Школа</v>
      </c>
      <c r="E42" s="92" t="s">
        <v>340</v>
      </c>
      <c r="F42" s="93">
        <v>510</v>
      </c>
      <c r="G42" s="95">
        <v>510</v>
      </c>
      <c r="H42" s="17" t="s">
        <v>182</v>
      </c>
      <c r="I42" s="93" t="str">
        <f>IF(OR(F42=152,F42=162,F42=510),IF((OR(LEFT(RIGHT(E42,13),1)={"A","D","E","F","G","I","L","N","P","R","S","T","V"})),"Ф",""),"")</f>
        <v/>
      </c>
    </row>
    <row r="43" spans="2:10" x14ac:dyDescent="0.3">
      <c r="D43" s="48" t="str">
        <f>CONCATENATE(УЧРЕЖДЕНИЯ!$A$4)</f>
        <v>Школа</v>
      </c>
      <c r="E43" s="92" t="s">
        <v>341</v>
      </c>
      <c r="F43" s="93">
        <v>6101</v>
      </c>
      <c r="G43" s="93">
        <v>610</v>
      </c>
      <c r="H43" s="17" t="s">
        <v>182</v>
      </c>
      <c r="I43" s="93" t="str">
        <f>IF(OR(F43=152,F43=162,F43=510),IF((OR(LEFT(RIGHT(E43,13),1)={"A","D","E","F","G","I","L","N","P","R","S","T","V"})),"Ф",""),"")</f>
        <v/>
      </c>
    </row>
    <row r="44" spans="2:10" x14ac:dyDescent="0.3">
      <c r="D44" s="48" t="str">
        <f>CONCATENATE(УЧРЕЖДЕНИЯ!$A$4)</f>
        <v>Школа</v>
      </c>
      <c r="E44" s="92" t="s">
        <v>348</v>
      </c>
      <c r="F44" s="93">
        <v>121</v>
      </c>
      <c r="G44" s="93">
        <v>120</v>
      </c>
      <c r="H44" s="17" t="s">
        <v>182</v>
      </c>
      <c r="I44" s="93" t="str">
        <f>IF(OR(F44=152,F44=162,F44=510),IF((OR(LEFT(RIGHT(E44,13),1)={"A","D","E","F","G","I","L","N","P","R","S","T","V"})),"Ф",""),"")</f>
        <v/>
      </c>
    </row>
    <row r="45" spans="2:10" x14ac:dyDescent="0.3">
      <c r="D45" s="48" t="str">
        <f>CONCATENATE(УЧРЕЖДЕНИЯ!$A$4)</f>
        <v>Школа</v>
      </c>
      <c r="E45" s="92" t="s">
        <v>349</v>
      </c>
      <c r="F45" s="95">
        <v>225</v>
      </c>
      <c r="G45" s="95">
        <v>244</v>
      </c>
      <c r="H45" s="17" t="s">
        <v>182</v>
      </c>
      <c r="I45" s="93" t="str">
        <f>IF(OR(F45=152,F45=162,F45=510),IF((OR(LEFT(RIGHT(E45,13),1)={"A","D","E","F","G","I","L","N","P","R","S","T","V"})),"Ф",""),"")</f>
        <v/>
      </c>
    </row>
    <row r="46" spans="2:10" x14ac:dyDescent="0.3">
      <c r="D46" s="48" t="str">
        <f>CONCATENATE(УЧРЕЖДЕНИЯ!$A$4)</f>
        <v>Школа</v>
      </c>
      <c r="E46" s="92" t="s">
        <v>349</v>
      </c>
      <c r="F46" s="95">
        <v>226</v>
      </c>
      <c r="G46" s="95">
        <v>244</v>
      </c>
      <c r="H46" s="17" t="s">
        <v>182</v>
      </c>
      <c r="I46" s="93" t="str">
        <f>IF(OR(F46=152,F46=162,F46=510),IF((OR(LEFT(RIGHT(E46,13),1)={"A","D","E","F","G","I","L","N","P","R","S","T","V"})),"Ф",""),"")</f>
        <v/>
      </c>
    </row>
    <row r="47" spans="2:10" x14ac:dyDescent="0.3">
      <c r="D47" s="48" t="str">
        <f>CONCATENATE(УЧРЕЖДЕНИЯ!$A$4)</f>
        <v>Школа</v>
      </c>
      <c r="E47" s="92" t="s">
        <v>349</v>
      </c>
      <c r="F47" s="95">
        <v>310</v>
      </c>
      <c r="G47" s="95">
        <v>244</v>
      </c>
      <c r="H47" s="17" t="s">
        <v>182</v>
      </c>
      <c r="I47" s="93" t="str">
        <f>IF(OR(F47=152,F47=162,F47=510),IF((OR(LEFT(RIGHT(E47,13),1)={"A","D","E","F","G","I","L","N","P","R","S","T","V"})),"Ф",""),"")</f>
        <v/>
      </c>
    </row>
    <row r="48" spans="2:10" x14ac:dyDescent="0.3">
      <c r="D48" s="48" t="str">
        <f>CONCATENATE(УЧРЕЖДЕНИЯ!$A$4)</f>
        <v>Школа</v>
      </c>
      <c r="E48" s="92" t="s">
        <v>349</v>
      </c>
      <c r="F48" s="95">
        <v>344</v>
      </c>
      <c r="G48" s="95">
        <v>244</v>
      </c>
      <c r="H48" s="17" t="s">
        <v>182</v>
      </c>
      <c r="I48" s="93" t="str">
        <f>IF(OR(F48=152,F48=162,F48=510),IF((OR(LEFT(RIGHT(E48,13),1)={"A","D","E","F","G","I","L","N","P","R","S","T","V"})),"Ф",""),"")</f>
        <v/>
      </c>
    </row>
    <row r="49" spans="4:9" x14ac:dyDescent="0.3">
      <c r="D49" s="48" t="str">
        <f>CONCATENATE(УЧРЕЖДЕНИЯ!$A$4)</f>
        <v>Школа</v>
      </c>
      <c r="E49" s="92" t="s">
        <v>349</v>
      </c>
      <c r="F49" s="95">
        <v>346</v>
      </c>
      <c r="G49" s="95">
        <v>244</v>
      </c>
      <c r="H49" s="17" t="s">
        <v>182</v>
      </c>
      <c r="I49" s="93" t="str">
        <f>IF(OR(F49=152,F49=162,F49=510),IF((OR(LEFT(RIGHT(E49,13),1)={"A","D","E","F","G","I","L","N","P","R","S","T","V"})),"Ф",""),"")</f>
        <v/>
      </c>
    </row>
    <row r="50" spans="4:9" x14ac:dyDescent="0.3">
      <c r="D50" s="48" t="str">
        <f>CONCATENATE(УЧРЕЖДЕНИЯ!$A$4)</f>
        <v>Школа</v>
      </c>
      <c r="E50" s="92" t="s">
        <v>652</v>
      </c>
      <c r="F50" s="95">
        <v>2231</v>
      </c>
      <c r="G50" s="95">
        <v>247</v>
      </c>
      <c r="H50" s="17" t="s">
        <v>182</v>
      </c>
      <c r="I50" s="93" t="str">
        <f>IF(OR(F50=152,F50=162,F50=510),IF((OR(LEFT(RIGHT(E50,13),1)={"A","D","E","F","G","I","L","N","P","R","S","T","V"})),"Ф",""),"")</f>
        <v/>
      </c>
    </row>
    <row r="51" spans="4:9" x14ac:dyDescent="0.3">
      <c r="D51" s="48" t="str">
        <f>CONCATENATE(УЧРЕЖДЕНИЯ!$A$4)</f>
        <v>Школа</v>
      </c>
      <c r="E51" s="92" t="s">
        <v>664</v>
      </c>
      <c r="F51" s="95">
        <v>2232</v>
      </c>
      <c r="G51" s="95">
        <v>247</v>
      </c>
      <c r="H51" s="17" t="s">
        <v>182</v>
      </c>
      <c r="I51" s="93" t="str">
        <f>IF(OR(F51=152,F51=162,F51=510),IF((OR(LEFT(RIGHT(E51,13),1)={"A","D","E","F","G","I","L","N","P","R","S","T","V"})),"Ф",""),"")</f>
        <v/>
      </c>
    </row>
    <row r="52" spans="4:9" x14ac:dyDescent="0.3">
      <c r="D52" s="48" t="str">
        <f>CONCATENATE(УЧРЕЖДЕНИЯ!$A$4)</f>
        <v>Школа</v>
      </c>
      <c r="E52" s="92" t="s">
        <v>326</v>
      </c>
      <c r="F52" s="95">
        <v>510</v>
      </c>
      <c r="G52" s="95">
        <v>510</v>
      </c>
      <c r="H52" s="17" t="s">
        <v>182</v>
      </c>
      <c r="I52" s="93" t="str">
        <f>IF(OR(F52=152,F52=162,F52=510),IF((OR(LEFT(RIGHT(E52,13),1)={"A","D","E","F","G","I","L","N","P","R","S","T","V"})),"Ф",""),"")</f>
        <v/>
      </c>
    </row>
    <row r="53" spans="4:9" x14ac:dyDescent="0.3">
      <c r="D53" s="48" t="str">
        <f>CONCATENATE(УЧРЕЖДЕНИЯ!$A$4)</f>
        <v>Школа</v>
      </c>
      <c r="E53" s="92" t="s">
        <v>327</v>
      </c>
      <c r="F53" s="95">
        <v>131</v>
      </c>
      <c r="G53" s="95">
        <v>130</v>
      </c>
      <c r="H53" s="17" t="s">
        <v>182</v>
      </c>
      <c r="I53" s="93" t="str">
        <f>IF(OR(F53=152,F53=162,F53=510),IF((OR(LEFT(RIGHT(E53,13),1)={"A","D","E","F","G","I","L","N","P","R","S","T","V"})),"Ф",""),"")</f>
        <v/>
      </c>
    </row>
    <row r="54" spans="4:9" x14ac:dyDescent="0.3">
      <c r="D54" s="48" t="str">
        <f>CONCATENATE(УЧРЕЖДЕНИЯ!$A$4)</f>
        <v>Школа</v>
      </c>
      <c r="E54" s="92" t="s">
        <v>328</v>
      </c>
      <c r="F54" s="95">
        <v>211</v>
      </c>
      <c r="G54" s="95">
        <v>111</v>
      </c>
      <c r="H54" s="17" t="s">
        <v>182</v>
      </c>
      <c r="I54" s="93" t="str">
        <f>IF(OR(F54=152,F54=162,F54=510),IF((OR(LEFT(RIGHT(E54,13),1)={"A","D","E","F","G","I","L","N","P","R","S","T","V"})),"Ф",""),"")</f>
        <v/>
      </c>
    </row>
    <row r="55" spans="4:9" x14ac:dyDescent="0.3">
      <c r="D55" s="48" t="str">
        <f>CONCATENATE(УЧРЕЖДЕНИЯ!$A$4)</f>
        <v>Школа</v>
      </c>
      <c r="E55" s="92" t="s">
        <v>329</v>
      </c>
      <c r="F55" s="95">
        <v>212</v>
      </c>
      <c r="G55" s="95">
        <v>112</v>
      </c>
      <c r="H55" s="17" t="s">
        <v>182</v>
      </c>
      <c r="I55" s="93" t="str">
        <f>IF(OR(F55=152,F55=162,F55=510),IF((OR(LEFT(RIGHT(E55,13),1)={"A","D","E","F","G","I","L","N","P","R","S","T","V"})),"Ф",""),"")</f>
        <v/>
      </c>
    </row>
    <row r="56" spans="4:9" x14ac:dyDescent="0.3">
      <c r="D56" s="48" t="str">
        <f>CONCATENATE(УЧРЕЖДЕНИЯ!$A$4)</f>
        <v>Школа</v>
      </c>
      <c r="E56" s="92" t="s">
        <v>330</v>
      </c>
      <c r="F56" s="95">
        <v>213</v>
      </c>
      <c r="G56" s="95">
        <v>119</v>
      </c>
      <c r="H56" s="17" t="s">
        <v>182</v>
      </c>
      <c r="I56" s="93" t="str">
        <f>IF(OR(F56=152,F56=162,F56=510),IF((OR(LEFT(RIGHT(E56,13),1)={"A","D","E","F","G","I","L","N","P","R","S","T","V"})),"Ф",""),"")</f>
        <v/>
      </c>
    </row>
    <row r="57" spans="4:9" x14ac:dyDescent="0.3">
      <c r="D57" s="48" t="str">
        <f>CONCATENATE(УЧРЕЖДЕНИЯ!$A$4)</f>
        <v>Школа</v>
      </c>
      <c r="E57" s="92" t="s">
        <v>331</v>
      </c>
      <c r="F57" s="95">
        <v>221</v>
      </c>
      <c r="G57" s="95">
        <v>244</v>
      </c>
      <c r="H57" s="17" t="s">
        <v>182</v>
      </c>
      <c r="I57" s="93" t="str">
        <f>IF(OR(F57=152,F57=162,F57=510),IF((OR(LEFT(RIGHT(E57,13),1)={"A","D","E","F","G","I","L","N","P","R","S","T","V"})),"Ф",""),"")</f>
        <v/>
      </c>
    </row>
    <row r="58" spans="4:9" x14ac:dyDescent="0.3">
      <c r="D58" s="48" t="str">
        <f>CONCATENATE(УЧРЕЖДЕНИЯ!$A$4)</f>
        <v>Школа</v>
      </c>
      <c r="E58" s="92" t="s">
        <v>331</v>
      </c>
      <c r="F58" s="95">
        <v>222</v>
      </c>
      <c r="G58" s="95">
        <v>244</v>
      </c>
      <c r="H58" s="17" t="s">
        <v>182</v>
      </c>
      <c r="I58" s="93" t="str">
        <f>IF(OR(F58=152,F58=162,F58=510),IF((OR(LEFT(RIGHT(E58,13),1)={"A","D","E","F","G","I","L","N","P","R","S","T","V"})),"Ф",""),"")</f>
        <v/>
      </c>
    </row>
    <row r="59" spans="4:9" x14ac:dyDescent="0.3">
      <c r="D59" s="48" t="str">
        <f>CONCATENATE(УЧРЕЖДЕНИЯ!$A$4)</f>
        <v>Школа</v>
      </c>
      <c r="E59" s="92" t="s">
        <v>331</v>
      </c>
      <c r="F59" s="95">
        <v>224</v>
      </c>
      <c r="G59" s="95">
        <v>244</v>
      </c>
      <c r="H59" s="17" t="s">
        <v>182</v>
      </c>
      <c r="I59" s="93" t="str">
        <f>IF(OR(F59=152,F59=162,F59=510),IF((OR(LEFT(RIGHT(E59,13),1)={"A","D","E","F","G","I","L","N","P","R","S","T","V"})),"Ф",""),"")</f>
        <v/>
      </c>
    </row>
    <row r="60" spans="4:9" x14ac:dyDescent="0.3">
      <c r="D60" s="48" t="str">
        <f>CONCATENATE(УЧРЕЖДЕНИЯ!$A$4)</f>
        <v>Школа</v>
      </c>
      <c r="E60" s="92" t="s">
        <v>331</v>
      </c>
      <c r="F60" s="95">
        <v>225</v>
      </c>
      <c r="G60" s="95">
        <v>244</v>
      </c>
      <c r="H60" s="17" t="s">
        <v>182</v>
      </c>
      <c r="I60" s="93" t="str">
        <f>IF(OR(F60=152,F60=162,F60=510),IF((OR(LEFT(RIGHT(E60,13),1)={"A","D","E","F","G","I","L","N","P","R","S","T","V"})),"Ф",""),"")</f>
        <v/>
      </c>
    </row>
    <row r="61" spans="4:9" x14ac:dyDescent="0.3">
      <c r="D61" s="48" t="str">
        <f>CONCATENATE(УЧРЕЖДЕНИЯ!$A$4)</f>
        <v>Школа</v>
      </c>
      <c r="E61" s="92" t="s">
        <v>331</v>
      </c>
      <c r="F61" s="95">
        <v>226</v>
      </c>
      <c r="G61" s="95">
        <v>244</v>
      </c>
      <c r="H61" s="17" t="s">
        <v>182</v>
      </c>
      <c r="I61" s="93" t="str">
        <f>IF(OR(F61=152,F61=162,F61=510),IF((OR(LEFT(RIGHT(E61,13),1)={"A","D","E","F","G","I","L","N","P","R","S","T","V"})),"Ф",""),"")</f>
        <v/>
      </c>
    </row>
    <row r="62" spans="4:9" x14ac:dyDescent="0.3">
      <c r="D62" s="48" t="str">
        <f>CONCATENATE(УЧРЕЖДЕНИЯ!$A$4)</f>
        <v>Школа</v>
      </c>
      <c r="E62" s="92" t="s">
        <v>331</v>
      </c>
      <c r="F62" s="95">
        <v>227</v>
      </c>
      <c r="G62" s="95">
        <v>244</v>
      </c>
      <c r="H62" s="17" t="s">
        <v>182</v>
      </c>
      <c r="I62" s="93" t="str">
        <f>IF(OR(F62=152,F62=162,F62=510),IF((OR(LEFT(RIGHT(E62,13),1)={"A","D","E","F","G","I","L","N","P","R","S","T","V"})),"Ф",""),"")</f>
        <v/>
      </c>
    </row>
    <row r="63" spans="4:9" x14ac:dyDescent="0.3">
      <c r="D63" s="48" t="str">
        <f>CONCATENATE(УЧРЕЖДЕНИЯ!$A$4)</f>
        <v>Школа</v>
      </c>
      <c r="E63" s="92" t="s">
        <v>331</v>
      </c>
      <c r="F63" s="95">
        <v>296</v>
      </c>
      <c r="G63" s="95">
        <v>244</v>
      </c>
      <c r="H63" s="17" t="s">
        <v>182</v>
      </c>
      <c r="I63" s="93" t="str">
        <f>IF(OR(F63=152,F63=162,F63=510),IF((OR(LEFT(RIGHT(E63,13),1)={"A","D","E","F","G","I","L","N","P","R","S","T","V"})),"Ф",""),"")</f>
        <v/>
      </c>
    </row>
    <row r="64" spans="4:9" x14ac:dyDescent="0.3">
      <c r="D64" s="48" t="str">
        <f>CONCATENATE(УЧРЕЖДЕНИЯ!$A$4)</f>
        <v>Школа</v>
      </c>
      <c r="E64" s="92" t="s">
        <v>331</v>
      </c>
      <c r="F64" s="95">
        <v>310</v>
      </c>
      <c r="G64" s="95">
        <v>244</v>
      </c>
      <c r="H64" s="17" t="s">
        <v>182</v>
      </c>
      <c r="I64" s="93" t="str">
        <f>IF(OR(F64=152,F64=162,F64=510),IF((OR(LEFT(RIGHT(E64,13),1)={"A","D","E","F","G","I","L","N","P","R","S","T","V"})),"Ф",""),"")</f>
        <v/>
      </c>
    </row>
    <row r="65" spans="4:9" x14ac:dyDescent="0.3">
      <c r="D65" s="48" t="str">
        <f>CONCATENATE(УЧРЕЖДЕНИЯ!$A$4)</f>
        <v>Школа</v>
      </c>
      <c r="E65" s="92" t="s">
        <v>332</v>
      </c>
      <c r="F65" s="95">
        <v>2233</v>
      </c>
      <c r="G65" s="95">
        <v>244</v>
      </c>
      <c r="H65" s="17" t="s">
        <v>182</v>
      </c>
      <c r="I65" s="93" t="str">
        <f>IF(OR(F65=152,F65=162,F65=510),IF((OR(LEFT(RIGHT(E65,13),1)={"A","D","E","F","G","I","L","N","P","R","S","T","V"})),"Ф",""),"")</f>
        <v/>
      </c>
    </row>
    <row r="66" spans="4:9" x14ac:dyDescent="0.3">
      <c r="D66" s="48" t="str">
        <f>CONCATENATE(УЧРЕЖДЕНИЯ!$A$4)</f>
        <v>Школа</v>
      </c>
      <c r="E66" s="92" t="s">
        <v>331</v>
      </c>
      <c r="F66" s="95">
        <v>341</v>
      </c>
      <c r="G66" s="95">
        <v>244</v>
      </c>
      <c r="H66" s="17" t="s">
        <v>182</v>
      </c>
      <c r="I66" s="93" t="str">
        <f>IF(OR(F66=152,F66=162,F66=510),IF((OR(LEFT(RIGHT(E66,13),1)={"A","D","E","F","G","I","L","N","P","R","S","T","V"})),"Ф",""),"")</f>
        <v/>
      </c>
    </row>
    <row r="67" spans="4:9" x14ac:dyDescent="0.3">
      <c r="D67" s="48" t="str">
        <f>CONCATENATE(УЧРЕЖДЕНИЯ!$A$4)</f>
        <v>Школа</v>
      </c>
      <c r="E67" s="92" t="s">
        <v>331</v>
      </c>
      <c r="F67" s="95">
        <v>342</v>
      </c>
      <c r="G67" s="95">
        <v>244</v>
      </c>
      <c r="H67" s="17" t="s">
        <v>182</v>
      </c>
      <c r="I67" s="93" t="str">
        <f>IF(OR(F67=152,F67=162,F67=510),IF((OR(LEFT(RIGHT(E67,13),1)={"A","D","E","F","G","I","L","N","P","R","S","T","V"})),"Ф",""),"")</f>
        <v/>
      </c>
    </row>
    <row r="68" spans="4:9" x14ac:dyDescent="0.3">
      <c r="D68" s="48" t="str">
        <f>CONCATENATE(УЧРЕЖДЕНИЯ!$A$4)</f>
        <v>Школа</v>
      </c>
      <c r="E68" s="92" t="s">
        <v>331</v>
      </c>
      <c r="F68" s="95">
        <v>343</v>
      </c>
      <c r="G68" s="95">
        <v>244</v>
      </c>
      <c r="H68" s="17" t="s">
        <v>182</v>
      </c>
      <c r="I68" s="93" t="str">
        <f>IF(OR(F68=152,F68=162,F68=510),IF((OR(LEFT(RIGHT(E68,13),1)={"A","D","E","F","G","I","L","N","P","R","S","T","V"})),"Ф",""),"")</f>
        <v/>
      </c>
    </row>
    <row r="69" spans="4:9" x14ac:dyDescent="0.3">
      <c r="D69" s="48" t="str">
        <f>CONCATENATE(УЧРЕЖДЕНИЯ!$A$4)</f>
        <v>Школа</v>
      </c>
      <c r="E69" s="92" t="s">
        <v>331</v>
      </c>
      <c r="F69" s="95">
        <v>346</v>
      </c>
      <c r="G69" s="95">
        <v>244</v>
      </c>
      <c r="H69" s="17" t="s">
        <v>182</v>
      </c>
      <c r="I69" s="93" t="str">
        <f>IF(OR(F69=152,F69=162,F69=510),IF((OR(LEFT(RIGHT(E69,13),1)={"A","D","E","F","G","I","L","N","P","R","S","T","V"})),"Ф",""),"")</f>
        <v/>
      </c>
    </row>
    <row r="70" spans="4:9" x14ac:dyDescent="0.3">
      <c r="D70" s="48" t="str">
        <f>CONCATENATE(УЧРЕЖДЕНИЯ!$A$4)</f>
        <v>Школа</v>
      </c>
      <c r="E70" s="92" t="s">
        <v>331</v>
      </c>
      <c r="F70" s="95">
        <v>349</v>
      </c>
      <c r="G70" s="95">
        <v>244</v>
      </c>
      <c r="H70" s="17" t="s">
        <v>182</v>
      </c>
      <c r="I70" s="93" t="str">
        <f>IF(OR(F70=152,F70=162,F70=510),IF((OR(LEFT(RIGHT(E70,13),1)={"A","D","E","F","G","I","L","N","P","R","S","T","V"})),"Ф",""),"")</f>
        <v/>
      </c>
    </row>
    <row r="71" spans="4:9" x14ac:dyDescent="0.3">
      <c r="D71" s="48" t="str">
        <f>CONCATENATE(УЧРЕЖДЕНИЯ!$A$4)</f>
        <v>Школа</v>
      </c>
      <c r="E71" s="92" t="s">
        <v>663</v>
      </c>
      <c r="F71" s="95">
        <v>2232</v>
      </c>
      <c r="G71" s="95">
        <v>247</v>
      </c>
      <c r="H71" s="17" t="s">
        <v>182</v>
      </c>
      <c r="I71" s="93" t="str">
        <f>IF(OR(F71=152,F71=162,F71=510),IF((OR(LEFT(RIGHT(E71,13),1)={"A","D","E","F","G","I","L","N","P","R","S","T","V"})),"Ф",""),"")</f>
        <v/>
      </c>
    </row>
    <row r="72" spans="4:9" x14ac:dyDescent="0.3">
      <c r="D72" s="48" t="str">
        <f>CONCATENATE(УЧРЕЖДЕНИЯ!$A$4)</f>
        <v>Школа</v>
      </c>
      <c r="E72" s="92" t="s">
        <v>651</v>
      </c>
      <c r="F72" s="95">
        <v>2231</v>
      </c>
      <c r="G72" s="95">
        <v>247</v>
      </c>
      <c r="H72" s="17" t="s">
        <v>182</v>
      </c>
      <c r="I72" s="93" t="str">
        <f>IF(OR(F72=152,F72=162,F72=510),IF((OR(LEFT(RIGHT(E72,13),1)={"A","D","E","F","G","I","L","N","P","R","S","T","V"})),"Ф",""),"")</f>
        <v/>
      </c>
    </row>
    <row r="73" spans="4:9" x14ac:dyDescent="0.3">
      <c r="D73" s="48" t="str">
        <f>CONCATENATE(УЧРЕЖДЕНИЯ!$A$4)</f>
        <v>Школа</v>
      </c>
      <c r="E73" s="92" t="s">
        <v>333</v>
      </c>
      <c r="F73" s="95">
        <v>262</v>
      </c>
      <c r="G73" s="95">
        <v>360</v>
      </c>
      <c r="H73" s="17" t="s">
        <v>182</v>
      </c>
      <c r="I73" s="93" t="str">
        <f>IF(OR(F73=152,F73=162,F73=510),IF((OR(LEFT(RIGHT(E73,13),1)={"A","D","E","F","G","I","L","N","P","R","S","T","V"})),"Ф",""),"")</f>
        <v/>
      </c>
    </row>
    <row r="74" spans="4:9" x14ac:dyDescent="0.3">
      <c r="D74" s="48" t="str">
        <f>CONCATENATE(УЧРЕЖДЕНИЯ!$A$4)</f>
        <v>Школа</v>
      </c>
      <c r="E74" s="92" t="s">
        <v>347</v>
      </c>
      <c r="F74" s="93">
        <v>510</v>
      </c>
      <c r="G74" s="93">
        <v>510</v>
      </c>
      <c r="H74" s="17" t="s">
        <v>182</v>
      </c>
      <c r="I74" s="93" t="str">
        <f>IF(OR(F74=152,F74=162,F74=510),IF((OR(LEFT(RIGHT(E74,13),1)={"A","D","E","F","G","I","L","N","P","R","S","T","V"})),"Ф",""),"")</f>
        <v/>
      </c>
    </row>
    <row r="75" spans="4:9" x14ac:dyDescent="0.3">
      <c r="D75" s="48" t="str">
        <f>CONCATENATE(УЧРЕЖДЕНИЯ!$A$4)</f>
        <v>Школа</v>
      </c>
      <c r="E75" s="92" t="s">
        <v>334</v>
      </c>
      <c r="F75" s="95">
        <v>291</v>
      </c>
      <c r="G75" s="95">
        <v>851</v>
      </c>
      <c r="H75" s="17" t="s">
        <v>182</v>
      </c>
      <c r="I75" s="93" t="str">
        <f>IF(OR(F75=152,F75=162,F75=510),IF((OR(LEFT(RIGHT(E75,13),1)={"A","D","E","F","G","I","L","N","P","R","S","T","V"})),"Ф",""),"")</f>
        <v/>
      </c>
    </row>
    <row r="76" spans="4:9" x14ac:dyDescent="0.3">
      <c r="D76" s="48" t="str">
        <f>CONCATENATE(УЧРЕЖДЕНИЯ!$A$4)</f>
        <v>Школа</v>
      </c>
      <c r="E76" s="92" t="s">
        <v>335</v>
      </c>
      <c r="F76" s="95">
        <v>291</v>
      </c>
      <c r="G76" s="95">
        <v>852</v>
      </c>
      <c r="H76" s="17" t="s">
        <v>182</v>
      </c>
      <c r="I76" s="93" t="str">
        <f>IF(OR(F76=152,F76=162,F76=510),IF((OR(LEFT(RIGHT(E76,13),1)={"A","D","E","F","G","I","L","N","P","R","S","T","V"})),"Ф",""),"")</f>
        <v/>
      </c>
    </row>
    <row r="77" spans="4:9" x14ac:dyDescent="0.3">
      <c r="D77" s="48" t="str">
        <f>CONCATENATE(УЧРЕЖДЕНИЯ!$A$4)</f>
        <v>Школа</v>
      </c>
      <c r="E77" s="92" t="s">
        <v>336</v>
      </c>
      <c r="F77" s="95">
        <v>292</v>
      </c>
      <c r="G77" s="95">
        <v>853</v>
      </c>
      <c r="H77" s="17" t="s">
        <v>182</v>
      </c>
      <c r="I77" s="93" t="str">
        <f>IF(OR(F77=152,F77=162,F77=510),IF((OR(LEFT(RIGHT(E77,13),1)={"A","D","E","F","G","I","L","N","P","R","S","T","V"})),"Ф",""),"")</f>
        <v/>
      </c>
    </row>
    <row r="78" spans="4:9" x14ac:dyDescent="0.3">
      <c r="D78" s="48" t="str">
        <f>CONCATENATE(УЧРЕЖДЕНИЯ!$A$4)</f>
        <v>Школа</v>
      </c>
      <c r="E78" s="92" t="s">
        <v>319</v>
      </c>
      <c r="F78" s="95">
        <v>135</v>
      </c>
      <c r="G78" s="95">
        <v>130</v>
      </c>
      <c r="H78" s="17" t="s">
        <v>182</v>
      </c>
      <c r="I78" s="93" t="str">
        <f>IF(OR(F78=152,F78=162,F78=510),IF((OR(LEFT(RIGHT(E78,13),1)={"A","D","E","F","G","I","L","N","P","R","S","T","V"})),"Ф",""),"")</f>
        <v/>
      </c>
    </row>
    <row r="79" spans="4:9" x14ac:dyDescent="0.3">
      <c r="D79" s="48" t="str">
        <f>CONCATENATE(УЧРЕЖДЕНИЯ!$A$4)</f>
        <v>Школа</v>
      </c>
      <c r="E79" s="92" t="s">
        <v>851</v>
      </c>
      <c r="F79" s="95">
        <v>2233</v>
      </c>
      <c r="G79" s="95">
        <v>244</v>
      </c>
      <c r="H79" s="17" t="s">
        <v>182</v>
      </c>
      <c r="I79" s="93" t="str">
        <f>IF(OR(F79=152,F79=162,F79=510),IF((OR(LEFT(RIGHT(E79,13),1)={"A","D","E","F","G","I","L","N","P","R","S","T","V"})),"Ф",""),"")</f>
        <v/>
      </c>
    </row>
    <row r="80" spans="4:9" x14ac:dyDescent="0.3">
      <c r="D80" s="48" t="str">
        <f>CONCATENATE(УЧРЕЖДЕНИЯ!$A$4)</f>
        <v>Школа</v>
      </c>
      <c r="E80" s="92" t="s">
        <v>653</v>
      </c>
      <c r="F80" s="237">
        <v>2231</v>
      </c>
      <c r="G80" s="237">
        <v>247</v>
      </c>
      <c r="H80" s="17" t="s">
        <v>182</v>
      </c>
      <c r="I80" s="93" t="str">
        <f>IF(OR(F80=152,F80=162,F80=510),IF((OR(LEFT(RIGHT(E80,13),1)={"A","D","E","F","G","I","L","N","P","R","S","T","V"})),"Ф",""),"")</f>
        <v/>
      </c>
    </row>
    <row r="81" spans="2:9" x14ac:dyDescent="0.3">
      <c r="D81" s="48" t="str">
        <f>CONCATENATE(УЧРЕЖДЕНИЯ!$A$4)</f>
        <v>Школа</v>
      </c>
      <c r="E81" s="92" t="s">
        <v>850</v>
      </c>
      <c r="F81" s="237">
        <v>2232</v>
      </c>
      <c r="G81" s="237">
        <v>247</v>
      </c>
      <c r="H81" s="17" t="s">
        <v>182</v>
      </c>
      <c r="I81" s="93" t="str">
        <f>IF(OR(F81=152,F81=162,F81=510),IF((OR(LEFT(RIGHT(E81,13),1)={"A","D","E","F","G","I","L","N","P","R","S","T","V"})),"Ф",""),"")</f>
        <v/>
      </c>
    </row>
    <row r="82" spans="2:9" x14ac:dyDescent="0.3">
      <c r="D82" s="48" t="str">
        <f>CONCATENATE(УЧРЕЖДЕНИЯ!$A$4)</f>
        <v>Школа</v>
      </c>
      <c r="E82" s="92" t="s">
        <v>343</v>
      </c>
      <c r="F82" s="93">
        <v>155</v>
      </c>
      <c r="G82" s="93">
        <v>150</v>
      </c>
      <c r="H82" s="17" t="s">
        <v>182</v>
      </c>
      <c r="I82" s="93" t="str">
        <f>IF(OR(F82=152,F82=162,F82=510),IF((OR(LEFT(RIGHT(E82,13),1)={"A","D","E","F","G","I","L","N","P","R","S","T","V"})),"Ф",""),"")</f>
        <v/>
      </c>
    </row>
    <row r="83" spans="2:9" x14ac:dyDescent="0.3">
      <c r="D83" s="48" t="str">
        <f>CONCATENATE(УЧРЕЖДЕНИЯ!$A$4)</f>
        <v>Школа</v>
      </c>
      <c r="E83" s="92" t="s">
        <v>344</v>
      </c>
      <c r="F83" s="93">
        <v>225</v>
      </c>
      <c r="G83" s="93">
        <v>244</v>
      </c>
      <c r="H83" s="17" t="s">
        <v>182</v>
      </c>
      <c r="I83" s="93" t="str">
        <f>IF(OR(F83=152,F83=162,F83=510),IF((OR(LEFT(RIGHT(E83,13),1)={"A","D","E","F","G","I","L","N","P","R","S","T","V"})),"Ф",""),"")</f>
        <v/>
      </c>
    </row>
    <row r="84" spans="2:9" x14ac:dyDescent="0.3">
      <c r="D84" s="48" t="str">
        <f>CONCATENATE(УЧРЕЖДЕНИЯ!$A$4)</f>
        <v>Школа</v>
      </c>
      <c r="E84" s="92" t="s">
        <v>344</v>
      </c>
      <c r="F84" s="93">
        <v>226</v>
      </c>
      <c r="G84" s="93">
        <v>244</v>
      </c>
      <c r="H84" s="17" t="s">
        <v>182</v>
      </c>
      <c r="I84" s="93" t="str">
        <f>IF(OR(F84=152,F84=162,F84=510),IF((OR(LEFT(RIGHT(E84,13),1)={"A","D","E","F","G","I","L","N","P","R","S","T","V"})),"Ф",""),"")</f>
        <v/>
      </c>
    </row>
    <row r="85" spans="2:9" x14ac:dyDescent="0.3">
      <c r="D85" s="48" t="str">
        <f>CONCATENATE(УЧРЕЖДЕНИЯ!$A$4)</f>
        <v>Школа</v>
      </c>
      <c r="E85" s="92" t="s">
        <v>344</v>
      </c>
      <c r="F85" s="93">
        <v>310</v>
      </c>
      <c r="G85" s="93">
        <v>244</v>
      </c>
      <c r="H85" s="17" t="s">
        <v>182</v>
      </c>
      <c r="I85" s="93" t="str">
        <f>IF(OR(F85=152,F85=162,F85=510),IF((OR(LEFT(RIGHT(E85,13),1)={"A","D","E","F","G","I","L","N","P","R","S","T","V"})),"Ф",""),"")</f>
        <v/>
      </c>
    </row>
    <row r="86" spans="2:9" x14ac:dyDescent="0.3">
      <c r="D86" s="48" t="str">
        <f>CONCATENATE(УЧРЕЖДЕНИЯ!$A$4)</f>
        <v>Школа</v>
      </c>
      <c r="E86" s="92" t="s">
        <v>344</v>
      </c>
      <c r="F86" s="93">
        <v>345</v>
      </c>
      <c r="G86" s="93">
        <v>244</v>
      </c>
      <c r="H86" s="17" t="s">
        <v>182</v>
      </c>
      <c r="I86" s="93" t="str">
        <f>IF(OR(F86=152,F86=162,F86=510),IF((OR(LEFT(RIGHT(E86,13),1)={"A","D","E","F","G","I","L","N","P","R","S","T","V"})),"Ф",""),"")</f>
        <v/>
      </c>
    </row>
    <row r="87" spans="2:9" x14ac:dyDescent="0.3">
      <c r="D87" s="48" t="str">
        <f>CONCATENATE(УЧРЕЖДЕНИЯ!$A$4)</f>
        <v>Школа</v>
      </c>
      <c r="E87" s="92" t="s">
        <v>344</v>
      </c>
      <c r="F87" s="93">
        <v>346</v>
      </c>
      <c r="G87" s="93">
        <v>244</v>
      </c>
      <c r="H87" s="17" t="s">
        <v>182</v>
      </c>
      <c r="I87" s="93" t="str">
        <f>IF(OR(F87=152,F87=162,F87=510),IF((OR(LEFT(RIGHT(E87,13),1)={"A","D","E","F","G","I","L","N","P","R","S","T","V"})),"Ф",""),"")</f>
        <v/>
      </c>
    </row>
    <row r="88" spans="2:9" x14ac:dyDescent="0.3">
      <c r="D88" s="48" t="str">
        <f>CONCATENATE(УЧРЕЖДЕНИЯ!$A$4)</f>
        <v>Школа</v>
      </c>
      <c r="E88" s="92" t="s">
        <v>342</v>
      </c>
      <c r="F88" s="93">
        <v>510</v>
      </c>
      <c r="G88" s="95">
        <v>510</v>
      </c>
      <c r="H88" s="17" t="s">
        <v>182</v>
      </c>
      <c r="I88" s="93" t="str">
        <f>IF(OR(F88=152,F88=162,F88=510),IF((OR(LEFT(RIGHT(E88,13),1)={"A","D","E","F","G","I","L","N","P","R","S","T","V"})),"Ф",""),"")</f>
        <v/>
      </c>
    </row>
    <row r="89" spans="2:9" x14ac:dyDescent="0.3">
      <c r="D89" s="48" t="str">
        <f>CONCATENATE(УЧРЕЖДЕНИЯ!$A$4)</f>
        <v>Школа</v>
      </c>
      <c r="E89" s="92" t="s">
        <v>848</v>
      </c>
      <c r="F89" s="93">
        <v>162</v>
      </c>
      <c r="G89" s="95">
        <v>150</v>
      </c>
      <c r="H89" s="17" t="s">
        <v>182</v>
      </c>
      <c r="I89" s="93" t="str">
        <f>IF(OR(F89=152,F89=162,F89=510),IF((OR(LEFT(RIGHT(E89,13),1)={"A","D","E","F","G","I","L","N","P","R","S","T","V"})),"Ф",""),"")</f>
        <v/>
      </c>
    </row>
    <row r="90" spans="2:9" x14ac:dyDescent="0.3">
      <c r="D90" s="48" t="str">
        <f>CONCATENATE(УЧРЕЖДЕНИЯ!$A$4)</f>
        <v>Школа</v>
      </c>
      <c r="E90" s="92" t="s">
        <v>849</v>
      </c>
      <c r="F90" s="93">
        <v>310</v>
      </c>
      <c r="G90" s="95">
        <v>244</v>
      </c>
      <c r="H90" s="17" t="s">
        <v>182</v>
      </c>
      <c r="I90" s="93" t="str">
        <f>IF(OR(F90=152,F90=162,F90=510),IF((OR(LEFT(RIGHT(E90,13),1)={"A","D","E","F","G","I","L","N","P","R","S","T","V"})),"Ф",""),"")</f>
        <v/>
      </c>
    </row>
    <row r="91" spans="2:9" x14ac:dyDescent="0.3">
      <c r="D91" s="48" t="str">
        <f>CONCATENATE(УЧРЕЖДЕНИЯ!$A$4)</f>
        <v>Школа</v>
      </c>
      <c r="E91" s="307" t="s">
        <v>918</v>
      </c>
      <c r="F91" s="303">
        <v>410</v>
      </c>
      <c r="G91" s="304">
        <v>410</v>
      </c>
      <c r="H91" s="305" t="s">
        <v>182</v>
      </c>
      <c r="I91" s="93" t="str">
        <f>IF(OR(F91=152,F91=162,F91=510),IF((OR(LEFT(RIGHT(E91,13),1)={"A","D","E","F","G","I","L","N","P","R","S","T","V"})),"Ф",""),"")</f>
        <v/>
      </c>
    </row>
    <row r="92" spans="2:9" x14ac:dyDescent="0.3">
      <c r="D92" s="48" t="str">
        <f>CONCATENATE(УЧРЕЖДЕНИЯ!$A$4)</f>
        <v>Школа</v>
      </c>
      <c r="E92" s="307" t="s">
        <v>919</v>
      </c>
      <c r="F92" s="303">
        <v>349</v>
      </c>
      <c r="G92" s="304">
        <v>244</v>
      </c>
      <c r="H92" s="305" t="s">
        <v>182</v>
      </c>
      <c r="I92" s="93" t="str">
        <f>IF(OR(F92=152,F92=162,F92=510),IF((OR(LEFT(RIGHT(E92,13),1)={"A","D","E","F","G","I","L","N","P","R","S","T","V"})),"Ф",""),"")</f>
        <v/>
      </c>
    </row>
    <row r="93" spans="2:9" x14ac:dyDescent="0.3">
      <c r="D93" s="48" t="str">
        <f>CONCATENATE(УЧРЕЖДЕНИЯ!$A$4)</f>
        <v>Школа</v>
      </c>
      <c r="E93" s="307" t="s">
        <v>920</v>
      </c>
      <c r="F93" s="303">
        <v>443</v>
      </c>
      <c r="G93" s="304">
        <v>440</v>
      </c>
      <c r="H93" s="305" t="s">
        <v>182</v>
      </c>
      <c r="I93" s="93" t="str">
        <f>IF(OR(F93=152,F93=162,F93=510),IF((OR(LEFT(RIGHT(E93,13),1)={"A","D","E","F","G","I","L","N","P","R","S","T","V"})),"Ф",""),"")</f>
        <v/>
      </c>
    </row>
    <row r="94" spans="2:9" x14ac:dyDescent="0.3">
      <c r="D94" s="48" t="str">
        <f>CONCATENATE(УЧРЕЖДЕНИЯ!$A$4)</f>
        <v>Школа</v>
      </c>
      <c r="E94" s="307" t="s">
        <v>917</v>
      </c>
      <c r="F94" s="303">
        <v>343</v>
      </c>
      <c r="G94" s="304">
        <v>244</v>
      </c>
      <c r="H94" s="305" t="s">
        <v>182</v>
      </c>
      <c r="I94" s="93" t="str">
        <f>IF(OR(F94=152,F94=162,F94=510),IF((OR(LEFT(RIGHT(E94,13),1)={"A","D","E","F","G","I","L","N","P","R","S","T","V"})),"Ф",""),"")</f>
        <v/>
      </c>
    </row>
    <row r="95" spans="2:9" x14ac:dyDescent="0.3">
      <c r="B95" s="48" t="s">
        <v>703</v>
      </c>
      <c r="C95" s="48" t="s">
        <v>706</v>
      </c>
      <c r="D95" s="48" t="str">
        <f>CONCATENATE(УЧРЕЖДЕНИЯ!$A$5)</f>
        <v>Допобр</v>
      </c>
      <c r="E95" s="92" t="s">
        <v>327</v>
      </c>
      <c r="F95" s="95">
        <v>131</v>
      </c>
      <c r="G95" s="95">
        <v>130</v>
      </c>
      <c r="H95" s="17" t="s">
        <v>183</v>
      </c>
      <c r="I95" s="93" t="str">
        <f>IF(OR(F95=152,F95=162,F95=510),IF((OR(LEFT(RIGHT(E95,13),1)={"A","D","E","F","G","I","L","N","P","R","S","T","V"})),"Ф",""),"")</f>
        <v/>
      </c>
    </row>
    <row r="96" spans="2:9" x14ac:dyDescent="0.3">
      <c r="D96" s="48" t="str">
        <f>CONCATENATE(УЧРЕЖДЕНИЯ!$A$5)</f>
        <v>Допобр</v>
      </c>
      <c r="E96" s="92" t="s">
        <v>328</v>
      </c>
      <c r="F96" s="95">
        <v>211</v>
      </c>
      <c r="G96" s="95">
        <v>111</v>
      </c>
      <c r="H96" s="17" t="s">
        <v>183</v>
      </c>
      <c r="I96" s="93" t="str">
        <f>IF(OR(F96=152,F96=162,F96=510),IF((OR(LEFT(RIGHT(E96,13),1)={"A","D","E","F","G","I","L","N","P","R","S","T","V"})),"Ф",""),"")</f>
        <v/>
      </c>
    </row>
    <row r="97" spans="4:9" x14ac:dyDescent="0.3">
      <c r="D97" s="48" t="str">
        <f>CONCATENATE(УЧРЕЖДЕНИЯ!$A$5)</f>
        <v>Допобр</v>
      </c>
      <c r="E97" s="92" t="s">
        <v>329</v>
      </c>
      <c r="F97" s="95">
        <v>212</v>
      </c>
      <c r="G97" s="95">
        <v>112</v>
      </c>
      <c r="H97" s="17" t="s">
        <v>183</v>
      </c>
      <c r="I97" s="93" t="str">
        <f>IF(OR(F97=152,F97=162,F97=510),IF((OR(LEFT(RIGHT(E97,13),1)={"A","D","E","F","G","I","L","N","P","R","S","T","V"})),"Ф",""),"")</f>
        <v/>
      </c>
    </row>
    <row r="98" spans="4:9" x14ac:dyDescent="0.3">
      <c r="D98" s="48" t="str">
        <f>CONCATENATE(УЧРЕЖДЕНИЯ!$A$5)</f>
        <v>Допобр</v>
      </c>
      <c r="E98" s="92" t="s">
        <v>330</v>
      </c>
      <c r="F98" s="95">
        <v>213</v>
      </c>
      <c r="G98" s="95">
        <v>119</v>
      </c>
      <c r="H98" s="17" t="s">
        <v>183</v>
      </c>
      <c r="I98" s="93" t="str">
        <f>IF(OR(F98=152,F98=162,F98=510),IF((OR(LEFT(RIGHT(E98,13),1)={"A","D","E","F","G","I","L","N","P","R","S","T","V"})),"Ф",""),"")</f>
        <v/>
      </c>
    </row>
    <row r="99" spans="4:9" x14ac:dyDescent="0.3">
      <c r="D99" s="48" t="str">
        <f>CONCATENATE(УЧРЕЖДЕНИЯ!$A$5)</f>
        <v>Допобр</v>
      </c>
      <c r="E99" s="92" t="s">
        <v>331</v>
      </c>
      <c r="F99" s="95">
        <v>221</v>
      </c>
      <c r="G99" s="95">
        <v>244</v>
      </c>
      <c r="H99" s="17" t="s">
        <v>183</v>
      </c>
      <c r="I99" s="93" t="str">
        <f>IF(OR(F99=152,F99=162,F99=510),IF((OR(LEFT(RIGHT(E99,13),1)={"A","D","E","F","G","I","L","N","P","R","S","T","V"})),"Ф",""),"")</f>
        <v/>
      </c>
    </row>
    <row r="100" spans="4:9" x14ac:dyDescent="0.3">
      <c r="D100" s="48" t="str">
        <f>CONCATENATE(УЧРЕЖДЕНИЯ!$A$5)</f>
        <v>Допобр</v>
      </c>
      <c r="E100" s="92" t="s">
        <v>331</v>
      </c>
      <c r="F100" s="95">
        <v>222</v>
      </c>
      <c r="G100" s="95">
        <v>244</v>
      </c>
      <c r="H100" s="17" t="s">
        <v>183</v>
      </c>
      <c r="I100" s="93" t="str">
        <f>IF(OR(F100=152,F100=162,F100=510),IF((OR(LEFT(RIGHT(E100,13),1)={"A","D","E","F","G","I","L","N","P","R","S","T","V"})),"Ф",""),"")</f>
        <v/>
      </c>
    </row>
    <row r="101" spans="4:9" x14ac:dyDescent="0.3">
      <c r="D101" s="48" t="str">
        <f>CONCATENATE(УЧРЕЖДЕНИЯ!$A$5)</f>
        <v>Допобр</v>
      </c>
      <c r="E101" s="92" t="s">
        <v>332</v>
      </c>
      <c r="F101" s="95">
        <v>2233</v>
      </c>
      <c r="G101" s="95">
        <v>244</v>
      </c>
      <c r="H101" s="17" t="s">
        <v>183</v>
      </c>
      <c r="I101" s="93" t="str">
        <f>IF(OR(F101=152,F101=162,F101=510),IF((OR(LEFT(RIGHT(E101,13),1)={"A","D","E","F","G","I","L","N","P","R","S","T","V"})),"Ф",""),"")</f>
        <v/>
      </c>
    </row>
    <row r="102" spans="4:9" x14ac:dyDescent="0.3">
      <c r="D102" s="48" t="str">
        <f>CONCATENATE(УЧРЕЖДЕНИЯ!$A$5)</f>
        <v>Допобр</v>
      </c>
      <c r="E102" s="92" t="s">
        <v>331</v>
      </c>
      <c r="F102" s="95">
        <v>224</v>
      </c>
      <c r="G102" s="95">
        <v>244</v>
      </c>
      <c r="H102" s="17" t="s">
        <v>183</v>
      </c>
      <c r="I102" s="93" t="str">
        <f>IF(OR(F102=152,F102=162,F102=510),IF((OR(LEFT(RIGHT(E102,13),1)={"A","D","E","F","G","I","L","N","P","R","S","T","V"})),"Ф",""),"")</f>
        <v/>
      </c>
    </row>
    <row r="103" spans="4:9" x14ac:dyDescent="0.3">
      <c r="D103" s="48" t="str">
        <f>CONCATENATE(УЧРЕЖДЕНИЯ!$A$5)</f>
        <v>Допобр</v>
      </c>
      <c r="E103" s="92" t="s">
        <v>331</v>
      </c>
      <c r="F103" s="95">
        <v>225</v>
      </c>
      <c r="G103" s="95">
        <v>244</v>
      </c>
      <c r="H103" s="17" t="s">
        <v>183</v>
      </c>
      <c r="I103" s="93" t="str">
        <f>IF(OR(F103=152,F103=162,F103=510),IF((OR(LEFT(RIGHT(E103,13),1)={"A","D","E","F","G","I","L","N","P","R","S","T","V"})),"Ф",""),"")</f>
        <v/>
      </c>
    </row>
    <row r="104" spans="4:9" x14ac:dyDescent="0.3">
      <c r="D104" s="48" t="str">
        <f>CONCATENATE(УЧРЕЖДЕНИЯ!$A$5)</f>
        <v>Допобр</v>
      </c>
      <c r="E104" s="92" t="s">
        <v>331</v>
      </c>
      <c r="F104" s="95">
        <v>226</v>
      </c>
      <c r="G104" s="95">
        <v>244</v>
      </c>
      <c r="H104" s="17" t="s">
        <v>183</v>
      </c>
      <c r="I104" s="93" t="str">
        <f>IF(OR(F104=152,F104=162,F104=510),IF((OR(LEFT(RIGHT(E104,13),1)={"A","D","E","F","G","I","L","N","P","R","S","T","V"})),"Ф",""),"")</f>
        <v/>
      </c>
    </row>
    <row r="105" spans="4:9" x14ac:dyDescent="0.3">
      <c r="D105" s="48" t="str">
        <f>CONCATENATE(УЧРЕЖДЕНИЯ!$A$5)</f>
        <v>Допобр</v>
      </c>
      <c r="E105" s="92" t="s">
        <v>331</v>
      </c>
      <c r="F105" s="95">
        <v>296</v>
      </c>
      <c r="G105" s="95">
        <v>244</v>
      </c>
      <c r="H105" s="17" t="s">
        <v>183</v>
      </c>
      <c r="I105" s="93" t="str">
        <f>IF(OR(F105=152,F105=162,F105=510),IF((OR(LEFT(RIGHT(E105,13),1)={"A","D","E","F","G","I","L","N","P","R","S","T","V"})),"Ф",""),"")</f>
        <v/>
      </c>
    </row>
    <row r="106" spans="4:9" x14ac:dyDescent="0.3">
      <c r="D106" s="48" t="str">
        <f>CONCATENATE(УЧРЕЖДЕНИЯ!$A$5)</f>
        <v>Допобр</v>
      </c>
      <c r="E106" s="92" t="s">
        <v>331</v>
      </c>
      <c r="F106" s="95">
        <v>310</v>
      </c>
      <c r="G106" s="95">
        <v>244</v>
      </c>
      <c r="H106" s="17" t="s">
        <v>183</v>
      </c>
      <c r="I106" s="93" t="str">
        <f>IF(OR(F106=152,F106=162,F106=510),IF((OR(LEFT(RIGHT(E106,13),1)={"A","D","E","F","G","I","L","N","P","R","S","T","V"})),"Ф",""),"")</f>
        <v/>
      </c>
    </row>
    <row r="107" spans="4:9" x14ac:dyDescent="0.3">
      <c r="D107" s="48" t="str">
        <f>CONCATENATE(УЧРЕЖДЕНИЯ!$A$5)</f>
        <v>Допобр</v>
      </c>
      <c r="E107" s="92" t="s">
        <v>331</v>
      </c>
      <c r="F107" s="95">
        <v>346</v>
      </c>
      <c r="G107" s="95">
        <v>244</v>
      </c>
      <c r="H107" s="17" t="s">
        <v>183</v>
      </c>
      <c r="I107" s="93" t="str">
        <f>IF(OR(F107=152,F107=162,F107=510),IF((OR(LEFT(RIGHT(E107,13),1)={"A","D","E","F","G","I","L","N","P","R","S","T","V"})),"Ф",""),"")</f>
        <v/>
      </c>
    </row>
    <row r="108" spans="4:9" x14ac:dyDescent="0.3">
      <c r="D108" s="48" t="str">
        <f>CONCATENATE(УЧРЕЖДЕНИЯ!$A$5)</f>
        <v>Допобр</v>
      </c>
      <c r="E108" s="92" t="s">
        <v>651</v>
      </c>
      <c r="F108" s="95">
        <v>2231</v>
      </c>
      <c r="G108" s="95">
        <v>247</v>
      </c>
      <c r="H108" s="17" t="s">
        <v>183</v>
      </c>
      <c r="I108" s="93" t="str">
        <f>IF(OR(F108=152,F108=162,F108=510),IF((OR(LEFT(RIGHT(E108,13),1)={"A","D","E","F","G","I","L","N","P","R","S","T","V"})),"Ф",""),"")</f>
        <v/>
      </c>
    </row>
    <row r="109" spans="4:9" x14ac:dyDescent="0.3">
      <c r="D109" s="48" t="str">
        <f>CONCATENATE(УЧРЕЖДЕНИЯ!$A$5)</f>
        <v>Допобр</v>
      </c>
      <c r="E109" s="92" t="s">
        <v>663</v>
      </c>
      <c r="F109" s="95">
        <v>2232</v>
      </c>
      <c r="G109" s="95">
        <v>247</v>
      </c>
      <c r="H109" s="17" t="s">
        <v>183</v>
      </c>
      <c r="I109" s="93" t="str">
        <f>IF(OR(F109=152,F109=162,F109=510),IF((OR(LEFT(RIGHT(E109,13),1)={"A","D","E","F","G","I","L","N","P","R","S","T","V"})),"Ф",""),"")</f>
        <v/>
      </c>
    </row>
    <row r="110" spans="4:9" x14ac:dyDescent="0.3">
      <c r="D110" s="48" t="str">
        <f>CONCATENATE(УЧРЕЖДЕНИЯ!$A$5)</f>
        <v>Допобр</v>
      </c>
      <c r="E110" s="92" t="s">
        <v>333</v>
      </c>
      <c r="F110" s="95">
        <v>262</v>
      </c>
      <c r="G110" s="95">
        <v>360</v>
      </c>
      <c r="H110" s="17" t="s">
        <v>183</v>
      </c>
      <c r="I110" s="93" t="str">
        <f>IF(OR(F110=152,F110=162,F110=510),IF((OR(LEFT(RIGHT(E110,13),1)={"A","D","E","F","G","I","L","N","P","R","S","T","V"})),"Ф",""),"")</f>
        <v/>
      </c>
    </row>
    <row r="111" spans="4:9" x14ac:dyDescent="0.3">
      <c r="D111" s="48" t="str">
        <f>CONCATENATE(УЧРЕЖДЕНИЯ!$A$5)</f>
        <v>Допобр</v>
      </c>
      <c r="E111" s="92" t="s">
        <v>326</v>
      </c>
      <c r="F111" s="95">
        <v>510</v>
      </c>
      <c r="G111" s="95">
        <v>510</v>
      </c>
      <c r="H111" s="17" t="s">
        <v>183</v>
      </c>
      <c r="I111" s="93" t="str">
        <f>IF(OR(F111=152,F111=162,F111=510),IF((OR(LEFT(RIGHT(E111,13),1)={"A","D","E","F","G","I","L","N","P","R","S","T","V"})),"Ф",""),"")</f>
        <v/>
      </c>
    </row>
    <row r="112" spans="4:9" x14ac:dyDescent="0.3">
      <c r="D112" s="48" t="str">
        <f>CONCATENATE(УЧРЕЖДЕНИЯ!$A$5)</f>
        <v>Допобр</v>
      </c>
      <c r="E112" s="92" t="s">
        <v>334</v>
      </c>
      <c r="F112" s="95">
        <v>291</v>
      </c>
      <c r="G112" s="95">
        <v>851</v>
      </c>
      <c r="H112" s="17" t="s">
        <v>183</v>
      </c>
      <c r="I112" s="93" t="str">
        <f>IF(OR(F112=152,F112=162,F112=510),IF((OR(LEFT(RIGHT(E112,13),1)={"A","D","E","F","G","I","L","N","P","R","S","T","V"})),"Ф",""),"")</f>
        <v/>
      </c>
    </row>
    <row r="113" spans="2:9" x14ac:dyDescent="0.3">
      <c r="D113" s="48" t="str">
        <f>CONCATENATE(УЧРЕЖДЕНИЯ!$A$5)</f>
        <v>Допобр</v>
      </c>
      <c r="E113" s="92" t="s">
        <v>336</v>
      </c>
      <c r="F113" s="95">
        <v>292</v>
      </c>
      <c r="G113" s="95">
        <v>853</v>
      </c>
      <c r="H113" s="17" t="s">
        <v>183</v>
      </c>
      <c r="I113" s="93" t="str">
        <f>IF(OR(F113=152,F113=162,F113=510),IF((OR(LEFT(RIGHT(E113,13),1)={"A","D","E","F","G","I","L","N","P","R","S","T","V"})),"Ф",""),"")</f>
        <v/>
      </c>
    </row>
    <row r="114" spans="2:9" x14ac:dyDescent="0.3">
      <c r="D114" s="48" t="str">
        <f>CONCATENATE(УЧРЕЖДЕНИЯ!$A$5)</f>
        <v>Допобр</v>
      </c>
      <c r="E114" s="92" t="s">
        <v>340</v>
      </c>
      <c r="F114" s="93">
        <v>510</v>
      </c>
      <c r="G114" s="95">
        <v>510</v>
      </c>
      <c r="H114" s="17" t="s">
        <v>183</v>
      </c>
      <c r="I114" s="93" t="str">
        <f>IF(OR(F114=152,F114=162,F114=510),IF((OR(LEFT(RIGHT(E114,13),1)={"A","D","E","F","G","I","L","N","P","R","S","T","V"})),"Ф",""),"")</f>
        <v/>
      </c>
    </row>
    <row r="115" spans="2:9" x14ac:dyDescent="0.3">
      <c r="D115" s="48" t="str">
        <f>CONCATENATE(УЧРЕЖДЕНИЯ!$A$5)</f>
        <v>Допобр</v>
      </c>
      <c r="E115" s="92" t="s">
        <v>341</v>
      </c>
      <c r="F115" s="93">
        <v>6101</v>
      </c>
      <c r="G115" s="93">
        <v>610</v>
      </c>
      <c r="H115" s="17" t="s">
        <v>183</v>
      </c>
      <c r="I115" s="93" t="str">
        <f>IF(OR(F115=152,F115=162,F115=510),IF((OR(LEFT(RIGHT(E115,13),1)={"A","D","E","F","G","I","L","N","P","R","S","T","V"})),"Ф",""),"")</f>
        <v/>
      </c>
    </row>
    <row r="116" spans="2:9" x14ac:dyDescent="0.3">
      <c r="D116" s="48" t="str">
        <f>CONCATENATE(УЧРЕЖДЕНИЯ!$A$5)</f>
        <v>Допобр</v>
      </c>
      <c r="E116" s="92" t="s">
        <v>343</v>
      </c>
      <c r="F116" s="93">
        <v>155</v>
      </c>
      <c r="G116" s="93">
        <v>150</v>
      </c>
      <c r="H116" s="17" t="s">
        <v>183</v>
      </c>
      <c r="I116" s="93" t="str">
        <f>IF(OR(F116=152,F116=162,F116=510),IF((OR(LEFT(RIGHT(E116,13),1)={"A","D","E","F","G","I","L","N","P","R","S","T","V"})),"Ф",""),"")</f>
        <v/>
      </c>
    </row>
    <row r="117" spans="2:9" x14ac:dyDescent="0.3">
      <c r="D117" s="48" t="str">
        <f>CONCATENATE(УЧРЕЖДЕНИЯ!$A$5)</f>
        <v>Допобр</v>
      </c>
      <c r="E117" s="92" t="s">
        <v>344</v>
      </c>
      <c r="F117" s="93">
        <v>225</v>
      </c>
      <c r="G117" s="93">
        <v>244</v>
      </c>
      <c r="H117" s="17" t="s">
        <v>183</v>
      </c>
      <c r="I117" s="93" t="str">
        <f>IF(OR(F117=152,F117=162,F117=510),IF((OR(LEFT(RIGHT(E117,13),1)={"A","D","E","F","G","I","L","N","P","R","S","T","V"})),"Ф",""),"")</f>
        <v/>
      </c>
    </row>
    <row r="118" spans="2:9" x14ac:dyDescent="0.3">
      <c r="D118" s="48" t="str">
        <f>CONCATENATE(УЧРЕЖДЕНИЯ!$A$5)</f>
        <v>Допобр</v>
      </c>
      <c r="E118" s="92" t="s">
        <v>344</v>
      </c>
      <c r="F118" s="93">
        <v>226</v>
      </c>
      <c r="G118" s="93">
        <v>244</v>
      </c>
      <c r="H118" s="17" t="s">
        <v>183</v>
      </c>
      <c r="I118" s="93" t="str">
        <f>IF(OR(F118=152,F118=162,F118=510),IF((OR(LEFT(RIGHT(E118,13),1)={"A","D","E","F","G","I","L","N","P","R","S","T","V"})),"Ф",""),"")</f>
        <v/>
      </c>
    </row>
    <row r="119" spans="2:9" x14ac:dyDescent="0.3">
      <c r="D119" s="48" t="str">
        <f>CONCATENATE(УЧРЕЖДЕНИЯ!$A$5)</f>
        <v>Допобр</v>
      </c>
      <c r="E119" s="92" t="s">
        <v>344</v>
      </c>
      <c r="F119" s="93">
        <v>310</v>
      </c>
      <c r="G119" s="93">
        <v>244</v>
      </c>
      <c r="H119" s="17" t="s">
        <v>183</v>
      </c>
      <c r="I119" s="93" t="str">
        <f>IF(OR(F119=152,F119=162,F119=510),IF((OR(LEFT(RIGHT(E119,13),1)={"A","D","E","F","G","I","L","N","P","R","S","T","V"})),"Ф",""),"")</f>
        <v/>
      </c>
    </row>
    <row r="120" spans="2:9" x14ac:dyDescent="0.3">
      <c r="D120" s="48" t="str">
        <f>CONCATENATE(УЧРЕЖДЕНИЯ!$A$5)</f>
        <v>Допобр</v>
      </c>
      <c r="E120" s="92" t="s">
        <v>344</v>
      </c>
      <c r="F120" s="93">
        <v>346</v>
      </c>
      <c r="G120" s="93">
        <v>244</v>
      </c>
      <c r="H120" s="17" t="s">
        <v>183</v>
      </c>
      <c r="I120" s="93" t="str">
        <f>IF(OR(F120=152,F120=162,F120=510),IF((OR(LEFT(RIGHT(E120,13),1)={"A","D","E","F","G","I","L","N","P","R","S","T","V"})),"Ф",""),"")</f>
        <v/>
      </c>
    </row>
    <row r="121" spans="2:9" x14ac:dyDescent="0.3">
      <c r="D121" s="48" t="str">
        <f>CONCATENATE(УЧРЕЖДЕНИЯ!$A$5)</f>
        <v>Допобр</v>
      </c>
      <c r="E121" s="92" t="s">
        <v>342</v>
      </c>
      <c r="F121" s="93">
        <v>510</v>
      </c>
      <c r="G121" s="95">
        <v>510</v>
      </c>
      <c r="H121" s="17" t="s">
        <v>183</v>
      </c>
      <c r="I121" s="93" t="str">
        <f>IF(OR(F121=152,F121=162,F121=510),IF((OR(LEFT(RIGHT(E121,13),1)={"A","D","E","F","G","I","L","N","P","R","S","T","V"})),"Ф",""),"")</f>
        <v/>
      </c>
    </row>
    <row r="122" spans="2:9" x14ac:dyDescent="0.3">
      <c r="B122" s="48" t="s">
        <v>703</v>
      </c>
      <c r="C122" s="48" t="s">
        <v>132</v>
      </c>
      <c r="D122" s="48" t="str">
        <f>CONCATENATE(УЧРЕЖДЕНИЯ!$A$6)</f>
        <v>благоустройство</v>
      </c>
      <c r="E122" s="92" t="s">
        <v>340</v>
      </c>
      <c r="F122" s="93">
        <v>510</v>
      </c>
      <c r="G122" s="95">
        <v>510</v>
      </c>
      <c r="H122" s="17" t="s">
        <v>184</v>
      </c>
      <c r="I122" s="93" t="str">
        <f>IF(OR(F122=152,F122=162,F122=510),IF((OR(LEFT(RIGHT(E122,13),1)={"A","D","E","F","G","I","L","N","P","R","S","T","V"})),"Ф",""),"")</f>
        <v/>
      </c>
    </row>
    <row r="123" spans="2:9" x14ac:dyDescent="0.3">
      <c r="D123" s="48" t="str">
        <f>CONCATENATE(УЧРЕЖДЕНИЯ!$A$6)</f>
        <v>благоустройство</v>
      </c>
      <c r="E123" s="92" t="s">
        <v>341</v>
      </c>
      <c r="F123" s="93">
        <v>6101</v>
      </c>
      <c r="G123" s="93">
        <v>610</v>
      </c>
      <c r="H123" s="17" t="s">
        <v>184</v>
      </c>
      <c r="I123" s="93" t="str">
        <f>IF(OR(F123=152,F123=162,F123=510),IF((OR(LEFT(RIGHT(E123,13),1)={"A","D","E","F","G","I","L","N","P","R","S","T","V"})),"Ф",""),"")</f>
        <v/>
      </c>
    </row>
    <row r="124" spans="2:9" x14ac:dyDescent="0.3">
      <c r="D124" s="48" t="str">
        <f>CONCATENATE(УЧРЕЖДЕНИЯ!$A$6)</f>
        <v>благоустройство</v>
      </c>
      <c r="E124" s="92" t="s">
        <v>327</v>
      </c>
      <c r="F124" s="95">
        <v>131</v>
      </c>
      <c r="G124" s="95">
        <v>130</v>
      </c>
      <c r="H124" s="17" t="s">
        <v>184</v>
      </c>
      <c r="I124" s="93" t="str">
        <f>IF(OR(F124=152,F124=162,F124=510),IF((OR(LEFT(RIGHT(E124,13),1)={"A","D","E","F","G","I","L","N","P","R","S","T","V"})),"Ф",""),"")</f>
        <v/>
      </c>
    </row>
    <row r="125" spans="2:9" x14ac:dyDescent="0.3">
      <c r="D125" s="48" t="str">
        <f>CONCATENATE(УЧРЕЖДЕНИЯ!$A$6)</f>
        <v>благоустройство</v>
      </c>
      <c r="E125" s="92" t="s">
        <v>328</v>
      </c>
      <c r="F125" s="95">
        <v>211</v>
      </c>
      <c r="G125" s="95">
        <v>111</v>
      </c>
      <c r="H125" s="17" t="s">
        <v>184</v>
      </c>
      <c r="I125" s="93" t="str">
        <f>IF(OR(F125=152,F125=162,F125=510),IF((OR(LEFT(RIGHT(E125,13),1)={"A","D","E","F","G","I","L","N","P","R","S","T","V"})),"Ф",""),"")</f>
        <v/>
      </c>
    </row>
    <row r="126" spans="2:9" x14ac:dyDescent="0.3">
      <c r="D126" s="48" t="str">
        <f>CONCATENATE(УЧРЕЖДЕНИЯ!$A$6)</f>
        <v>благоустройство</v>
      </c>
      <c r="E126" s="92" t="s">
        <v>329</v>
      </c>
      <c r="F126" s="95">
        <v>212</v>
      </c>
      <c r="G126" s="95">
        <v>112</v>
      </c>
      <c r="H126" s="17" t="s">
        <v>184</v>
      </c>
      <c r="I126" s="93" t="str">
        <f>IF(OR(F126=152,F126=162,F126=510),IF((OR(LEFT(RIGHT(E126,13),1)={"A","D","E","F","G","I","L","N","P","R","S","T","V"})),"Ф",""),"")</f>
        <v/>
      </c>
    </row>
    <row r="127" spans="2:9" x14ac:dyDescent="0.3">
      <c r="D127" s="48" t="str">
        <f>CONCATENATE(УЧРЕЖДЕНИЯ!$A$6)</f>
        <v>благоустройство</v>
      </c>
      <c r="E127" s="92" t="s">
        <v>330</v>
      </c>
      <c r="F127" s="95">
        <v>213</v>
      </c>
      <c r="G127" s="95">
        <v>119</v>
      </c>
      <c r="H127" s="17" t="s">
        <v>184</v>
      </c>
      <c r="I127" s="93" t="str">
        <f>IF(OR(F127=152,F127=162,F127=510),IF((OR(LEFT(RIGHT(E127,13),1)={"A","D","E","F","G","I","L","N","P","R","S","T","V"})),"Ф",""),"")</f>
        <v/>
      </c>
    </row>
    <row r="128" spans="2:9" x14ac:dyDescent="0.3">
      <c r="D128" s="48" t="str">
        <f>CONCATENATE(УЧРЕЖДЕНИЯ!$A$6)</f>
        <v>благоустройство</v>
      </c>
      <c r="E128" s="92" t="s">
        <v>556</v>
      </c>
      <c r="F128" s="95">
        <v>189</v>
      </c>
      <c r="G128" s="95">
        <v>180</v>
      </c>
      <c r="H128" s="17" t="s">
        <v>184</v>
      </c>
      <c r="I128" s="93" t="str">
        <f>IF(OR(F128=152,F128=162,F128=510),IF((OR(LEFT(RIGHT(E128,13),1)={"A","D","E","F","G","I","L","N","P","R","S","T","V"})),"Ф",""),"")</f>
        <v/>
      </c>
    </row>
    <row r="129" spans="4:9" x14ac:dyDescent="0.3">
      <c r="D129" s="48" t="str">
        <f>CONCATENATE(УЧРЕЖДЕНИЯ!$A$6)</f>
        <v>благоустройство</v>
      </c>
      <c r="E129" s="92" t="s">
        <v>331</v>
      </c>
      <c r="F129" s="95">
        <v>221</v>
      </c>
      <c r="G129" s="95">
        <v>244</v>
      </c>
      <c r="H129" s="17" t="s">
        <v>184</v>
      </c>
      <c r="I129" s="93" t="str">
        <f>IF(OR(F129=152,F129=162,F129=510),IF((OR(LEFT(RIGHT(E129,13),1)={"A","D","E","F","G","I","L","N","P","R","S","T","V"})),"Ф",""),"")</f>
        <v/>
      </c>
    </row>
    <row r="130" spans="4:9" x14ac:dyDescent="0.3">
      <c r="D130" s="48" t="str">
        <f>CONCATENATE(УЧРЕЖДЕНИЯ!$A$6)</f>
        <v>благоустройство</v>
      </c>
      <c r="E130" s="92" t="s">
        <v>331</v>
      </c>
      <c r="F130" s="95">
        <v>222</v>
      </c>
      <c r="G130" s="95">
        <v>244</v>
      </c>
      <c r="H130" s="17" t="s">
        <v>184</v>
      </c>
      <c r="I130" s="93" t="str">
        <f>IF(OR(F130=152,F130=162,F130=510),IF((OR(LEFT(RIGHT(E130,13),1)={"A","D","E","F","G","I","L","N","P","R","S","T","V"})),"Ф",""),"")</f>
        <v/>
      </c>
    </row>
    <row r="131" spans="4:9" x14ac:dyDescent="0.3">
      <c r="D131" s="48" t="str">
        <f>CONCATENATE(УЧРЕЖДЕНИЯ!$A$6)</f>
        <v>благоустройство</v>
      </c>
      <c r="E131" s="92" t="s">
        <v>332</v>
      </c>
      <c r="F131" s="95">
        <v>2233</v>
      </c>
      <c r="G131" s="95">
        <v>244</v>
      </c>
      <c r="H131" s="17" t="s">
        <v>184</v>
      </c>
      <c r="I131" s="93" t="str">
        <f>IF(OR(F131=152,F131=162,F131=510),IF((OR(LEFT(RIGHT(E131,13),1)={"A","D","E","F","G","I","L","N","P","R","S","T","V"})),"Ф",""),"")</f>
        <v/>
      </c>
    </row>
    <row r="132" spans="4:9" x14ac:dyDescent="0.3">
      <c r="D132" s="48" t="str">
        <f>CONCATENATE(УЧРЕЖДЕНИЯ!$A$6)</f>
        <v>благоустройство</v>
      </c>
      <c r="E132" s="92" t="s">
        <v>331</v>
      </c>
      <c r="F132" s="95">
        <v>224</v>
      </c>
      <c r="G132" s="95">
        <v>244</v>
      </c>
      <c r="H132" s="17" t="s">
        <v>184</v>
      </c>
      <c r="I132" s="93" t="str">
        <f>IF(OR(F132=152,F132=162,F132=510),IF((OR(LEFT(RIGHT(E132,13),1)={"A","D","E","F","G","I","L","N","P","R","S","T","V"})),"Ф",""),"")</f>
        <v/>
      </c>
    </row>
    <row r="133" spans="4:9" x14ac:dyDescent="0.3">
      <c r="D133" s="48" t="str">
        <f>CONCATENATE(УЧРЕЖДЕНИЯ!$A$6)</f>
        <v>благоустройство</v>
      </c>
      <c r="E133" s="92" t="s">
        <v>331</v>
      </c>
      <c r="F133" s="95">
        <v>225</v>
      </c>
      <c r="G133" s="95">
        <v>244</v>
      </c>
      <c r="H133" s="17" t="s">
        <v>184</v>
      </c>
      <c r="I133" s="93" t="str">
        <f>IF(OR(F133=152,F133=162,F133=510),IF((OR(LEFT(RIGHT(E133,13),1)={"A","D","E","F","G","I","L","N","P","R","S","T","V"})),"Ф",""),"")</f>
        <v/>
      </c>
    </row>
    <row r="134" spans="4:9" x14ac:dyDescent="0.3">
      <c r="D134" s="48" t="str">
        <f>CONCATENATE(УЧРЕЖДЕНИЯ!$A$6)</f>
        <v>благоустройство</v>
      </c>
      <c r="E134" s="92" t="s">
        <v>331</v>
      </c>
      <c r="F134" s="95">
        <v>226</v>
      </c>
      <c r="G134" s="95">
        <v>244</v>
      </c>
      <c r="H134" s="17" t="s">
        <v>184</v>
      </c>
      <c r="I134" s="93" t="str">
        <f>IF(OR(F134=152,F134=162,F134=510),IF((OR(LEFT(RIGHT(E134,13),1)={"A","D","E","F","G","I","L","N","P","R","S","T","V"})),"Ф",""),"")</f>
        <v/>
      </c>
    </row>
    <row r="135" spans="4:9" x14ac:dyDescent="0.3">
      <c r="D135" s="48" t="str">
        <f>CONCATENATE(УЧРЕЖДЕНИЯ!$A$6)</f>
        <v>благоустройство</v>
      </c>
      <c r="E135" s="92" t="s">
        <v>331</v>
      </c>
      <c r="F135" s="95">
        <v>227</v>
      </c>
      <c r="G135" s="95">
        <v>244</v>
      </c>
      <c r="H135" s="17" t="s">
        <v>184</v>
      </c>
      <c r="I135" s="93" t="str">
        <f>IF(OR(F135=152,F135=162,F135=510),IF((OR(LEFT(RIGHT(E135,13),1)={"A","D","E","F","G","I","L","N","P","R","S","T","V"})),"Ф",""),"")</f>
        <v/>
      </c>
    </row>
    <row r="136" spans="4:9" x14ac:dyDescent="0.3">
      <c r="D136" s="48" t="str">
        <f>CONCATENATE(УЧРЕЖДЕНИЯ!$A$6)</f>
        <v>благоустройство</v>
      </c>
      <c r="E136" s="92" t="s">
        <v>331</v>
      </c>
      <c r="F136" s="95">
        <v>310</v>
      </c>
      <c r="G136" s="95">
        <v>244</v>
      </c>
      <c r="H136" s="17" t="s">
        <v>184</v>
      </c>
      <c r="I136" s="93" t="str">
        <f>IF(OR(F136=152,F136=162,F136=510),IF((OR(LEFT(RIGHT(E136,13),1)={"A","D","E","F","G","I","L","N","P","R","S","T","V"})),"Ф",""),"")</f>
        <v/>
      </c>
    </row>
    <row r="137" spans="4:9" x14ac:dyDescent="0.3">
      <c r="D137" s="48" t="str">
        <f>CONCATENATE(УЧРЕЖДЕНИЯ!$A$6)</f>
        <v>благоустройство</v>
      </c>
      <c r="E137" s="92" t="s">
        <v>331</v>
      </c>
      <c r="F137" s="95">
        <v>343</v>
      </c>
      <c r="G137" s="95">
        <v>244</v>
      </c>
      <c r="H137" s="17" t="s">
        <v>184</v>
      </c>
      <c r="I137" s="93" t="str">
        <f>IF(OR(F137=152,F137=162,F137=510),IF((OR(LEFT(RIGHT(E137,13),1)={"A","D","E","F","G","I","L","N","P","R","S","T","V"})),"Ф",""),"")</f>
        <v/>
      </c>
    </row>
    <row r="138" spans="4:9" x14ac:dyDescent="0.3">
      <c r="D138" s="48" t="str">
        <f>CONCATENATE(УЧРЕЖДЕНИЯ!$A$6)</f>
        <v>благоустройство</v>
      </c>
      <c r="E138" s="92" t="s">
        <v>331</v>
      </c>
      <c r="F138" s="95">
        <v>346</v>
      </c>
      <c r="G138" s="95">
        <v>244</v>
      </c>
      <c r="H138" s="17" t="s">
        <v>184</v>
      </c>
      <c r="I138" s="93" t="str">
        <f>IF(OR(F138=152,F138=162,F138=510),IF((OR(LEFT(RIGHT(E138,13),1)={"A","D","E","F","G","I","L","N","P","R","S","T","V"})),"Ф",""),"")</f>
        <v/>
      </c>
    </row>
    <row r="139" spans="4:9" x14ac:dyDescent="0.3">
      <c r="D139" s="48" t="str">
        <f>CONCATENATE(УЧРЕЖДЕНИЯ!$A$6)</f>
        <v>благоустройство</v>
      </c>
      <c r="E139" s="92" t="s">
        <v>651</v>
      </c>
      <c r="F139" s="95">
        <v>2231</v>
      </c>
      <c r="G139" s="95">
        <v>247</v>
      </c>
      <c r="H139" s="17" t="s">
        <v>184</v>
      </c>
      <c r="I139" s="93" t="str">
        <f>IF(OR(F139=152,F139=162,F139=510),IF((OR(LEFT(RIGHT(E139,13),1)={"A","D","E","F","G","I","L","N","P","R","S","T","V"})),"Ф",""),"")</f>
        <v/>
      </c>
    </row>
    <row r="140" spans="4:9" x14ac:dyDescent="0.3">
      <c r="D140" s="48" t="str">
        <f>CONCATENATE(УЧРЕЖДЕНИЯ!$A$6)</f>
        <v>благоустройство</v>
      </c>
      <c r="E140" s="92" t="s">
        <v>663</v>
      </c>
      <c r="F140" s="95">
        <v>2232</v>
      </c>
      <c r="G140" s="95">
        <v>247</v>
      </c>
      <c r="H140" s="17" t="s">
        <v>184</v>
      </c>
      <c r="I140" s="93" t="str">
        <f>IF(OR(F140=152,F140=162,F140=510),IF((OR(LEFT(RIGHT(E140,13),1)={"A","D","E","F","G","I","L","N","P","R","S","T","V"})),"Ф",""),"")</f>
        <v/>
      </c>
    </row>
    <row r="141" spans="4:9" x14ac:dyDescent="0.3">
      <c r="D141" s="48" t="str">
        <f>CONCATENATE(УЧРЕЖДЕНИЯ!$A$6)</f>
        <v>благоустройство</v>
      </c>
      <c r="E141" s="92" t="s">
        <v>337</v>
      </c>
      <c r="F141" s="95">
        <v>264</v>
      </c>
      <c r="G141" s="95">
        <v>321</v>
      </c>
      <c r="H141" s="17" t="s">
        <v>184</v>
      </c>
      <c r="I141" s="93" t="str">
        <f>IF(OR(F141=152,F141=162,F141=510),IF((OR(LEFT(RIGHT(E141,13),1)={"A","D","E","F","G","I","L","N","P","R","S","T","V"})),"Ф",""),"")</f>
        <v/>
      </c>
    </row>
    <row r="142" spans="4:9" x14ac:dyDescent="0.3">
      <c r="D142" s="48" t="str">
        <f>CONCATENATE(УЧРЕЖДЕНИЯ!$A$6)</f>
        <v>благоустройство</v>
      </c>
      <c r="E142" s="92" t="s">
        <v>333</v>
      </c>
      <c r="F142" s="95">
        <v>262</v>
      </c>
      <c r="G142" s="95">
        <v>360</v>
      </c>
      <c r="H142" s="17" t="s">
        <v>184</v>
      </c>
      <c r="I142" s="93" t="str">
        <f>IF(OR(F142=152,F142=162,F142=510),IF((OR(LEFT(RIGHT(E142,13),1)={"A","D","E","F","G","I","L","N","P","R","S","T","V"})),"Ф",""),"")</f>
        <v/>
      </c>
    </row>
    <row r="143" spans="4:9" x14ac:dyDescent="0.3">
      <c r="D143" s="48" t="str">
        <f>CONCATENATE(УЧРЕЖДЕНИЯ!$A$6)</f>
        <v>благоустройство</v>
      </c>
      <c r="E143" s="92" t="s">
        <v>326</v>
      </c>
      <c r="F143" s="95">
        <v>510</v>
      </c>
      <c r="G143" s="95">
        <v>510</v>
      </c>
      <c r="H143" s="17" t="s">
        <v>184</v>
      </c>
      <c r="I143" s="93" t="str">
        <f>IF(OR(F143=152,F143=162,F143=510),IF((OR(LEFT(RIGHT(E143,13),1)={"A","D","E","F","G","I","L","N","P","R","S","T","V"})),"Ф",""),"")</f>
        <v/>
      </c>
    </row>
    <row r="144" spans="4:9" x14ac:dyDescent="0.3">
      <c r="D144" s="48" t="str">
        <f>CONCATENATE(УЧРЕЖДЕНИЯ!$A$6)</f>
        <v>благоустройство</v>
      </c>
      <c r="E144" s="92" t="s">
        <v>334</v>
      </c>
      <c r="F144" s="95">
        <v>291</v>
      </c>
      <c r="G144" s="95">
        <v>851</v>
      </c>
      <c r="H144" s="17" t="s">
        <v>184</v>
      </c>
      <c r="I144" s="93" t="str">
        <f>IF(OR(F144=152,F144=162,F144=510),IF((OR(LEFT(RIGHT(E144,13),1)={"A","D","E","F","G","I","L","N","P","R","S","T","V"})),"Ф",""),"")</f>
        <v/>
      </c>
    </row>
    <row r="145" spans="2:9" x14ac:dyDescent="0.3">
      <c r="D145" s="48" t="str">
        <f>CONCATENATE(УЧРЕЖДЕНИЯ!$A$6)</f>
        <v>благоустройство</v>
      </c>
      <c r="E145" s="92" t="s">
        <v>335</v>
      </c>
      <c r="F145" s="95">
        <v>291</v>
      </c>
      <c r="G145" s="95">
        <v>852</v>
      </c>
      <c r="H145" s="17" t="s">
        <v>184</v>
      </c>
      <c r="I145" s="93" t="str">
        <f>IF(OR(F145=152,F145=162,F145=510),IF((OR(LEFT(RIGHT(E145,13),1)={"A","D","E","F","G","I","L","N","P","R","S","T","V"})),"Ф",""),"")</f>
        <v/>
      </c>
    </row>
    <row r="146" spans="2:9" x14ac:dyDescent="0.3">
      <c r="D146" s="48" t="str">
        <f>CONCATENATE(УЧРЕЖДЕНИЯ!$A$6)</f>
        <v>благоустройство</v>
      </c>
      <c r="E146" s="92" t="s">
        <v>336</v>
      </c>
      <c r="F146" s="95">
        <v>291</v>
      </c>
      <c r="G146" s="95">
        <v>853</v>
      </c>
      <c r="H146" s="17" t="s">
        <v>184</v>
      </c>
      <c r="I146" s="93" t="str">
        <f>IF(OR(F146=152,F146=162,F146=510),IF((OR(LEFT(RIGHT(E146,13),1)={"A","D","E","F","G","I","L","N","P","R","S","T","V"})),"Ф",""),"")</f>
        <v/>
      </c>
    </row>
    <row r="147" spans="2:9" x14ac:dyDescent="0.3">
      <c r="D147" s="48" t="str">
        <f>CONCATENATE(УЧРЕЖДЕНИЯ!$A$6)</f>
        <v>благоустройство</v>
      </c>
      <c r="E147" s="92" t="s">
        <v>336</v>
      </c>
      <c r="F147" s="95">
        <v>292</v>
      </c>
      <c r="G147" s="95">
        <v>853</v>
      </c>
      <c r="H147" s="17" t="s">
        <v>184</v>
      </c>
      <c r="I147" s="93" t="str">
        <f>IF(OR(F147=152,F147=162,F147=510),IF((OR(LEFT(RIGHT(E147,13),1)={"A","D","E","F","G","I","L","N","P","R","S","T","V"})),"Ф",""),"")</f>
        <v/>
      </c>
    </row>
    <row r="148" spans="2:9" x14ac:dyDescent="0.3">
      <c r="D148" s="48" t="str">
        <f>CONCATENATE(УЧРЕЖДЕНИЯ!$A$6)</f>
        <v>благоустройство</v>
      </c>
      <c r="E148" s="92" t="s">
        <v>336</v>
      </c>
      <c r="F148" s="95">
        <v>293</v>
      </c>
      <c r="G148" s="95">
        <v>853</v>
      </c>
      <c r="H148" s="17" t="s">
        <v>184</v>
      </c>
      <c r="I148" s="93" t="str">
        <f>IF(OR(F148=152,F148=162,F148=510),IF((OR(LEFT(RIGHT(E148,13),1)={"A","D","E","F","G","I","L","N","P","R","S","T","V"})),"Ф",""),"")</f>
        <v/>
      </c>
    </row>
    <row r="149" spans="2:9" x14ac:dyDescent="0.3">
      <c r="D149" s="48" t="str">
        <f>CONCATENATE(УЧРЕЖДЕНИЯ!$A$6)</f>
        <v>благоустройство</v>
      </c>
      <c r="E149" s="92" t="s">
        <v>343</v>
      </c>
      <c r="F149" s="95">
        <v>155</v>
      </c>
      <c r="G149" s="95">
        <v>150</v>
      </c>
      <c r="H149" s="17" t="s">
        <v>184</v>
      </c>
      <c r="I149" s="93" t="str">
        <f>IF(OR(F149=152,F149=162,F149=510),IF((OR(LEFT(RIGHT(E149,13),1)={"A","D","E","F","G","I","L","N","P","R","S","T","V"})),"Ф",""),"")</f>
        <v/>
      </c>
    </row>
    <row r="150" spans="2:9" x14ac:dyDescent="0.3">
      <c r="D150" s="48" t="str">
        <f>CONCATENATE(УЧРЕЖДЕНИЯ!$A$6)</f>
        <v>благоустройство</v>
      </c>
      <c r="E150" s="92" t="s">
        <v>344</v>
      </c>
      <c r="F150" s="93">
        <v>225</v>
      </c>
      <c r="G150" s="93">
        <v>244</v>
      </c>
      <c r="H150" s="17" t="s">
        <v>184</v>
      </c>
      <c r="I150" s="93" t="str">
        <f>IF(OR(F150=152,F150=162,F150=510),IF((OR(LEFT(RIGHT(E150,13),1)={"A","D","E","F","G","I","L","N","P","R","S","T","V"})),"Ф",""),"")</f>
        <v/>
      </c>
    </row>
    <row r="151" spans="2:9" x14ac:dyDescent="0.3">
      <c r="D151" s="48" t="str">
        <f>CONCATENATE(УЧРЕЖДЕНИЯ!$A$6)</f>
        <v>благоустройство</v>
      </c>
      <c r="E151" s="92" t="s">
        <v>344</v>
      </c>
      <c r="F151" s="93">
        <v>226</v>
      </c>
      <c r="G151" s="93">
        <v>244</v>
      </c>
      <c r="H151" s="17" t="s">
        <v>184</v>
      </c>
      <c r="I151" s="93" t="str">
        <f>IF(OR(F151=152,F151=162,F151=510),IF((OR(LEFT(RIGHT(E151,13),1)={"A","D","E","F","G","I","L","N","P","R","S","T","V"})),"Ф",""),"")</f>
        <v/>
      </c>
    </row>
    <row r="152" spans="2:9" x14ac:dyDescent="0.3">
      <c r="D152" s="48" t="str">
        <f>CONCATENATE(УЧРЕЖДЕНИЯ!$A$6)</f>
        <v>благоустройство</v>
      </c>
      <c r="E152" s="92" t="s">
        <v>344</v>
      </c>
      <c r="F152" s="93">
        <v>310</v>
      </c>
      <c r="G152" s="93">
        <v>244</v>
      </c>
      <c r="H152" s="17" t="s">
        <v>184</v>
      </c>
      <c r="I152" s="93" t="str">
        <f>IF(OR(F152=152,F152=162,F152=510),IF((OR(LEFT(RIGHT(E152,13),1)={"A","D","E","F","G","I","L","N","P","R","S","T","V"})),"Ф",""),"")</f>
        <v/>
      </c>
    </row>
    <row r="153" spans="2:9" x14ac:dyDescent="0.3">
      <c r="D153" s="48" t="str">
        <f>CONCATENATE(УЧРЕЖДЕНИЯ!$A$6)</f>
        <v>благоустройство</v>
      </c>
      <c r="E153" s="92" t="s">
        <v>342</v>
      </c>
      <c r="F153" s="95">
        <v>510</v>
      </c>
      <c r="G153" s="95">
        <v>510</v>
      </c>
      <c r="H153" s="17" t="s">
        <v>184</v>
      </c>
      <c r="I153" s="93" t="str">
        <f>IF(OR(F153=152,F153=162,F153=510),IF((OR(LEFT(RIGHT(E153,13),1)={"A","D","E","F","G","I","L","N","P","R","S","T","V"})),"Ф",""),"")</f>
        <v/>
      </c>
    </row>
    <row r="154" spans="2:9" x14ac:dyDescent="0.3">
      <c r="B154" s="48" t="s">
        <v>703</v>
      </c>
      <c r="C154" s="48" t="s">
        <v>131</v>
      </c>
      <c r="D154" s="48" t="str">
        <f>CONCATENATE(УЧРЕЖДЕНИЯ!$A$7)</f>
        <v>МХШ</v>
      </c>
      <c r="E154" s="92" t="s">
        <v>348</v>
      </c>
      <c r="F154" s="93">
        <v>121</v>
      </c>
      <c r="G154" s="93">
        <v>120</v>
      </c>
      <c r="H154" s="17" t="s">
        <v>183</v>
      </c>
      <c r="I154" s="93" t="str">
        <f>IF(OR(F154=152,F154=162,F154=510),IF((OR(LEFT(RIGHT(E154,13),1)={"A","D","E","F","G","I","L","N","P","R","S","T","V"})),"Ф",""),"")</f>
        <v/>
      </c>
    </row>
    <row r="155" spans="2:9" x14ac:dyDescent="0.3">
      <c r="D155" s="48" t="str">
        <f>CONCATENATE(УЧРЕЖДЕНИЯ!$A$7)</f>
        <v>МХШ</v>
      </c>
      <c r="E155" s="92" t="s">
        <v>349</v>
      </c>
      <c r="F155" s="95">
        <v>225</v>
      </c>
      <c r="G155" s="95">
        <v>244</v>
      </c>
      <c r="H155" s="17" t="s">
        <v>183</v>
      </c>
      <c r="I155" s="93" t="str">
        <f>IF(OR(F155=152,F155=162,F155=510),IF((OR(LEFT(RIGHT(E155,13),1)={"A","D","E","F","G","I","L","N","P","R","S","T","V"})),"Ф",""),"")</f>
        <v/>
      </c>
    </row>
    <row r="156" spans="2:9" x14ac:dyDescent="0.3">
      <c r="D156" s="48" t="str">
        <f>CONCATENATE(УЧРЕЖДЕНИЯ!$A$7)</f>
        <v>МХШ</v>
      </c>
      <c r="E156" s="92" t="s">
        <v>349</v>
      </c>
      <c r="F156" s="95">
        <v>226</v>
      </c>
      <c r="G156" s="95">
        <v>244</v>
      </c>
      <c r="H156" s="17" t="s">
        <v>183</v>
      </c>
      <c r="I156" s="93" t="str">
        <f>IF(OR(F156=152,F156=162,F156=510),IF((OR(LEFT(RIGHT(E156,13),1)={"A","D","E","F","G","I","L","N","P","R","S","T","V"})),"Ф",""),"")</f>
        <v/>
      </c>
    </row>
    <row r="157" spans="2:9" x14ac:dyDescent="0.3">
      <c r="D157" s="48" t="str">
        <f>CONCATENATE(УЧРЕЖДЕНИЯ!$A$7)</f>
        <v>МХШ</v>
      </c>
      <c r="E157" s="92" t="s">
        <v>349</v>
      </c>
      <c r="F157" s="95">
        <v>310</v>
      </c>
      <c r="G157" s="95">
        <v>244</v>
      </c>
      <c r="H157" s="17" t="s">
        <v>183</v>
      </c>
      <c r="I157" s="93" t="str">
        <f>IF(OR(F157=152,F157=162,F157=510),IF((OR(LEFT(RIGHT(E157,13),1)={"A","D","E","F","G","I","L","N","P","R","S","T","V"})),"Ф",""),"")</f>
        <v/>
      </c>
    </row>
    <row r="158" spans="2:9" x14ac:dyDescent="0.3">
      <c r="D158" s="48" t="str">
        <f>CONCATENATE(УЧРЕЖДЕНИЯ!$A$7)</f>
        <v>МХШ</v>
      </c>
      <c r="E158" s="92" t="s">
        <v>349</v>
      </c>
      <c r="F158" s="95">
        <v>344</v>
      </c>
      <c r="G158" s="95">
        <v>244</v>
      </c>
      <c r="H158" s="17" t="s">
        <v>183</v>
      </c>
      <c r="I158" s="93" t="str">
        <f>IF(OR(F158=152,F158=162,F158=510),IF((OR(LEFT(RIGHT(E158,13),1)={"A","D","E","F","G","I","L","N","P","R","S","T","V"})),"Ф",""),"")</f>
        <v/>
      </c>
    </row>
    <row r="159" spans="2:9" x14ac:dyDescent="0.3">
      <c r="D159" s="48" t="str">
        <f>CONCATENATE(УЧРЕЖДЕНИЯ!$A$7)</f>
        <v>МХШ</v>
      </c>
      <c r="E159" s="92" t="s">
        <v>349</v>
      </c>
      <c r="F159" s="95">
        <v>346</v>
      </c>
      <c r="G159" s="95">
        <v>244</v>
      </c>
      <c r="H159" s="17" t="s">
        <v>183</v>
      </c>
      <c r="I159" s="93" t="str">
        <f>IF(OR(F159=152,F159=162,F159=510),IF((OR(LEFT(RIGHT(E159,13),1)={"A","D","E","F","G","I","L","N","P","R","S","T","V"})),"Ф",""),"")</f>
        <v/>
      </c>
    </row>
    <row r="160" spans="2:9" x14ac:dyDescent="0.3">
      <c r="D160" s="48" t="str">
        <f>CONCATENATE(УЧРЕЖДЕНИЯ!$A$7)</f>
        <v>МХШ</v>
      </c>
      <c r="E160" s="92" t="s">
        <v>349</v>
      </c>
      <c r="F160" s="95">
        <v>349</v>
      </c>
      <c r="G160" s="95">
        <v>244</v>
      </c>
      <c r="H160" s="17" t="s">
        <v>183</v>
      </c>
      <c r="I160" s="93" t="str">
        <f>IF(OR(F160=152,F160=162,F160=510),IF((OR(LEFT(RIGHT(E160,13),1)={"A","D","E","F","G","I","L","N","P","R","S","T","V"})),"Ф",""),"")</f>
        <v/>
      </c>
    </row>
    <row r="161" spans="4:9" x14ac:dyDescent="0.3">
      <c r="D161" s="48" t="str">
        <f>CONCATENATE(УЧРЕЖДЕНИЯ!$A$7)</f>
        <v>МХШ</v>
      </c>
      <c r="E161" s="92" t="s">
        <v>652</v>
      </c>
      <c r="F161" s="95">
        <v>2231</v>
      </c>
      <c r="G161" s="95">
        <v>247</v>
      </c>
      <c r="H161" s="17" t="s">
        <v>183</v>
      </c>
      <c r="I161" s="93" t="str">
        <f>IF(OR(F161=152,F161=162,F161=510),IF((OR(LEFT(RIGHT(E161,13),1)={"A","D","E","F","G","I","L","N","P","R","S","T","V"})),"Ф",""),"")</f>
        <v/>
      </c>
    </row>
    <row r="162" spans="4:9" x14ac:dyDescent="0.3">
      <c r="D162" s="48" t="str">
        <f>CONCATENATE(УЧРЕЖДЕНИЯ!$A$7)</f>
        <v>МХШ</v>
      </c>
      <c r="E162" s="92" t="s">
        <v>664</v>
      </c>
      <c r="F162" s="95">
        <v>2232</v>
      </c>
      <c r="G162" s="95">
        <v>247</v>
      </c>
      <c r="H162" s="17" t="s">
        <v>183</v>
      </c>
      <c r="I162" s="93" t="str">
        <f>IF(OR(F162=152,F162=162,F162=510),IF((OR(LEFT(RIGHT(E162,13),1)={"A","D","E","F","G","I","L","N","P","R","S","T","V"})),"Ф",""),"")</f>
        <v/>
      </c>
    </row>
    <row r="163" spans="4:9" x14ac:dyDescent="0.3">
      <c r="D163" s="48" t="str">
        <f>CONCATENATE(УЧРЕЖДЕНИЯ!$A$7)</f>
        <v>МХШ</v>
      </c>
      <c r="E163" s="92" t="s">
        <v>347</v>
      </c>
      <c r="F163" s="93">
        <v>510</v>
      </c>
      <c r="G163" s="93">
        <v>510</v>
      </c>
      <c r="H163" s="17" t="s">
        <v>183</v>
      </c>
      <c r="I163" s="93" t="str">
        <f>IF(OR(F163=152,F163=162,F163=510),IF((OR(LEFT(RIGHT(E163,13),1)={"A","D","E","F","G","I","L","N","P","R","S","T","V"})),"Ф",""),"")</f>
        <v/>
      </c>
    </row>
    <row r="164" spans="4:9" x14ac:dyDescent="0.3">
      <c r="D164" s="48" t="str">
        <f>CONCATENATE(УЧРЕЖДЕНИЯ!$A$7)</f>
        <v>МХШ</v>
      </c>
      <c r="E164" s="92" t="s">
        <v>327</v>
      </c>
      <c r="F164" s="95">
        <v>131</v>
      </c>
      <c r="G164" s="95">
        <v>130</v>
      </c>
      <c r="H164" s="17" t="s">
        <v>183</v>
      </c>
      <c r="I164" s="93" t="str">
        <f>IF(OR(F164=152,F164=162,F164=510),IF((OR(LEFT(RIGHT(E164,13),1)={"A","D","E","F","G","I","L","N","P","R","S","T","V"})),"Ф",""),"")</f>
        <v/>
      </c>
    </row>
    <row r="165" spans="4:9" x14ac:dyDescent="0.3">
      <c r="D165" s="48" t="str">
        <f>CONCATENATE(УЧРЕЖДЕНИЯ!$A$7)</f>
        <v>МХШ</v>
      </c>
      <c r="E165" s="92" t="s">
        <v>328</v>
      </c>
      <c r="F165" s="95">
        <v>211</v>
      </c>
      <c r="G165" s="95">
        <v>111</v>
      </c>
      <c r="H165" s="17" t="s">
        <v>183</v>
      </c>
      <c r="I165" s="93" t="str">
        <f>IF(OR(F165=152,F165=162,F165=510),IF((OR(LEFT(RIGHT(E165,13),1)={"A","D","E","F","G","I","L","N","P","R","S","T","V"})),"Ф",""),"")</f>
        <v/>
      </c>
    </row>
    <row r="166" spans="4:9" x14ac:dyDescent="0.3">
      <c r="D166" s="48" t="str">
        <f>CONCATENATE(УЧРЕЖДЕНИЯ!$A$7)</f>
        <v>МХШ</v>
      </c>
      <c r="E166" s="92" t="s">
        <v>329</v>
      </c>
      <c r="F166" s="95">
        <v>212</v>
      </c>
      <c r="G166" s="95">
        <v>112</v>
      </c>
      <c r="H166" s="17" t="s">
        <v>183</v>
      </c>
      <c r="I166" s="93" t="str">
        <f>IF(OR(F166=152,F166=162,F166=510),IF((OR(LEFT(RIGHT(E166,13),1)={"A","D","E","F","G","I","L","N","P","R","S","T","V"})),"Ф",""),"")</f>
        <v/>
      </c>
    </row>
    <row r="167" spans="4:9" x14ac:dyDescent="0.3">
      <c r="D167" s="48" t="str">
        <f>CONCATENATE(УЧРЕЖДЕНИЯ!$A$7)</f>
        <v>МХШ</v>
      </c>
      <c r="E167" s="92" t="s">
        <v>329</v>
      </c>
      <c r="F167" s="95">
        <v>226</v>
      </c>
      <c r="G167" s="95">
        <v>112</v>
      </c>
      <c r="H167" s="17" t="s">
        <v>183</v>
      </c>
      <c r="I167" s="93" t="str">
        <f>IF(OR(F167=152,F167=162,F167=510),IF((OR(LEFT(RIGHT(E167,13),1)={"A","D","E","F","G","I","L","N","P","R","S","T","V"})),"Ф",""),"")</f>
        <v/>
      </c>
    </row>
    <row r="168" spans="4:9" x14ac:dyDescent="0.3">
      <c r="D168" s="48" t="str">
        <f>CONCATENATE(УЧРЕЖДЕНИЯ!$A$7)</f>
        <v>МХШ</v>
      </c>
      <c r="E168" s="92" t="s">
        <v>330</v>
      </c>
      <c r="F168" s="95">
        <v>213</v>
      </c>
      <c r="G168" s="95">
        <v>119</v>
      </c>
      <c r="H168" s="17" t="s">
        <v>183</v>
      </c>
      <c r="I168" s="93" t="str">
        <f>IF(OR(F168=152,F168=162,F168=510),IF((OR(LEFT(RIGHT(E168,13),1)={"A","D","E","F","G","I","L","N","P","R","S","T","V"})),"Ф",""),"")</f>
        <v/>
      </c>
    </row>
    <row r="169" spans="4:9" x14ac:dyDescent="0.3">
      <c r="D169" s="48" t="str">
        <f>CONCATENATE(УЧРЕЖДЕНИЯ!$A$7)</f>
        <v>МХШ</v>
      </c>
      <c r="E169" s="92" t="s">
        <v>331</v>
      </c>
      <c r="F169" s="95">
        <v>221</v>
      </c>
      <c r="G169" s="95">
        <v>244</v>
      </c>
      <c r="H169" s="17" t="s">
        <v>183</v>
      </c>
      <c r="I169" s="93" t="str">
        <f>IF(OR(F169=152,F169=162,F169=510),IF((OR(LEFT(RIGHT(E169,13),1)={"A","D","E","F","G","I","L","N","P","R","S","T","V"})),"Ф",""),"")</f>
        <v/>
      </c>
    </row>
    <row r="170" spans="4:9" x14ac:dyDescent="0.3">
      <c r="D170" s="48" t="str">
        <f>CONCATENATE(УЧРЕЖДЕНИЯ!$A$7)</f>
        <v>МХШ</v>
      </c>
      <c r="E170" s="92" t="s">
        <v>331</v>
      </c>
      <c r="F170" s="95">
        <v>222</v>
      </c>
      <c r="G170" s="95">
        <v>244</v>
      </c>
      <c r="H170" s="17" t="s">
        <v>183</v>
      </c>
      <c r="I170" s="93" t="str">
        <f>IF(OR(F170=152,F170=162,F170=510),IF((OR(LEFT(RIGHT(E170,13),1)={"A","D","E","F","G","I","L","N","P","R","S","T","V"})),"Ф",""),"")</f>
        <v/>
      </c>
    </row>
    <row r="171" spans="4:9" x14ac:dyDescent="0.3">
      <c r="D171" s="48" t="str">
        <f>CONCATENATE(УЧРЕЖДЕНИЯ!$A$7)</f>
        <v>МХШ</v>
      </c>
      <c r="E171" s="92" t="s">
        <v>332</v>
      </c>
      <c r="F171" s="95">
        <v>2233</v>
      </c>
      <c r="G171" s="95">
        <v>244</v>
      </c>
      <c r="H171" s="17" t="s">
        <v>183</v>
      </c>
      <c r="I171" s="93" t="str">
        <f>IF(OR(F171=152,F171=162,F171=510),IF((OR(LEFT(RIGHT(E171,13),1)={"A","D","E","F","G","I","L","N","P","R","S","T","V"})),"Ф",""),"")</f>
        <v/>
      </c>
    </row>
    <row r="172" spans="4:9" x14ac:dyDescent="0.3">
      <c r="D172" s="48" t="str">
        <f>CONCATENATE(УЧРЕЖДЕНИЯ!$A$7)</f>
        <v>МХШ</v>
      </c>
      <c r="E172" s="92" t="s">
        <v>331</v>
      </c>
      <c r="F172" s="95">
        <v>224</v>
      </c>
      <c r="G172" s="95">
        <v>244</v>
      </c>
      <c r="H172" s="17" t="s">
        <v>183</v>
      </c>
      <c r="I172" s="93" t="str">
        <f>IF(OR(F172=152,F172=162,F172=510),IF((OR(LEFT(RIGHT(E172,13),1)={"A","D","E","F","G","I","L","N","P","R","S","T","V"})),"Ф",""),"")</f>
        <v/>
      </c>
    </row>
    <row r="173" spans="4:9" x14ac:dyDescent="0.3">
      <c r="D173" s="48" t="str">
        <f>CONCATENATE(УЧРЕЖДЕНИЯ!$A$7)</f>
        <v>МХШ</v>
      </c>
      <c r="E173" s="92" t="s">
        <v>331</v>
      </c>
      <c r="F173" s="95">
        <v>225</v>
      </c>
      <c r="G173" s="95">
        <v>244</v>
      </c>
      <c r="H173" s="17" t="s">
        <v>183</v>
      </c>
      <c r="I173" s="93" t="str">
        <f>IF(OR(F173=152,F173=162,F173=510),IF((OR(LEFT(RIGHT(E173,13),1)={"A","D","E","F","G","I","L","N","P","R","S","T","V"})),"Ф",""),"")</f>
        <v/>
      </c>
    </row>
    <row r="174" spans="4:9" x14ac:dyDescent="0.3">
      <c r="D174" s="48" t="str">
        <f>CONCATENATE(УЧРЕЖДЕНИЯ!$A$7)</f>
        <v>МХШ</v>
      </c>
      <c r="E174" s="92" t="s">
        <v>331</v>
      </c>
      <c r="F174" s="95">
        <v>226</v>
      </c>
      <c r="G174" s="95">
        <v>244</v>
      </c>
      <c r="H174" s="17" t="s">
        <v>183</v>
      </c>
      <c r="I174" s="93" t="str">
        <f>IF(OR(F174=152,F174=162,F174=510),IF((OR(LEFT(RIGHT(E174,13),1)={"A","D","E","F","G","I","L","N","P","R","S","T","V"})),"Ф",""),"")</f>
        <v/>
      </c>
    </row>
    <row r="175" spans="4:9" x14ac:dyDescent="0.3">
      <c r="D175" s="48" t="str">
        <f>CONCATENATE(УЧРЕЖДЕНИЯ!$A$7)</f>
        <v>МХШ</v>
      </c>
      <c r="E175" s="92" t="s">
        <v>331</v>
      </c>
      <c r="F175" s="95">
        <v>296</v>
      </c>
      <c r="G175" s="95">
        <v>244</v>
      </c>
      <c r="H175" s="17" t="s">
        <v>183</v>
      </c>
      <c r="I175" s="93" t="str">
        <f>IF(OR(F175=152,F175=162,F175=510),IF((OR(LEFT(RIGHT(E175,13),1)={"A","D","E","F","G","I","L","N","P","R","S","T","V"})),"Ф",""),"")</f>
        <v/>
      </c>
    </row>
    <row r="176" spans="4:9" x14ac:dyDescent="0.3">
      <c r="D176" s="48" t="str">
        <f>CONCATENATE(УЧРЕЖДЕНИЯ!$A$7)</f>
        <v>МХШ</v>
      </c>
      <c r="E176" s="92" t="s">
        <v>331</v>
      </c>
      <c r="F176" s="95">
        <v>310</v>
      </c>
      <c r="G176" s="95">
        <v>244</v>
      </c>
      <c r="H176" s="17" t="s">
        <v>183</v>
      </c>
      <c r="I176" s="93" t="str">
        <f>IF(OR(F176=152,F176=162,F176=510),IF((OR(LEFT(RIGHT(E176,13),1)={"A","D","E","F","G","I","L","N","P","R","S","T","V"})),"Ф",""),"")</f>
        <v/>
      </c>
    </row>
    <row r="177" spans="4:9" x14ac:dyDescent="0.3">
      <c r="D177" s="48" t="str">
        <f>CONCATENATE(УЧРЕЖДЕНИЯ!$A$7)</f>
        <v>МХШ</v>
      </c>
      <c r="E177" s="92" t="s">
        <v>331</v>
      </c>
      <c r="F177" s="95">
        <v>341</v>
      </c>
      <c r="G177" s="95">
        <v>244</v>
      </c>
      <c r="H177" s="17" t="s">
        <v>183</v>
      </c>
      <c r="I177" s="93" t="str">
        <f>IF(OR(F177=152,F177=162,F177=510),IF((OR(LEFT(RIGHT(E177,13),1)={"A","D","E","F","G","I","L","N","P","R","S","T","V"})),"Ф",""),"")</f>
        <v/>
      </c>
    </row>
    <row r="178" spans="4:9" x14ac:dyDescent="0.3">
      <c r="D178" s="48" t="str">
        <f>CONCATENATE(УЧРЕЖДЕНИЯ!$A$7)</f>
        <v>МХШ</v>
      </c>
      <c r="E178" s="92" t="s">
        <v>331</v>
      </c>
      <c r="F178" s="95">
        <v>344</v>
      </c>
      <c r="G178" s="95">
        <v>244</v>
      </c>
      <c r="H178" s="17" t="s">
        <v>183</v>
      </c>
      <c r="I178" s="93" t="str">
        <f>IF(OR(F178=152,F178=162,F178=510),IF((OR(LEFT(RIGHT(E178,13),1)={"A","D","E","F","G","I","L","N","P","R","S","T","V"})),"Ф",""),"")</f>
        <v/>
      </c>
    </row>
    <row r="179" spans="4:9" x14ac:dyDescent="0.3">
      <c r="D179" s="48" t="str">
        <f>CONCATENATE(УЧРЕЖДЕНИЯ!$A$7)</f>
        <v>МХШ</v>
      </c>
      <c r="E179" s="92" t="s">
        <v>331</v>
      </c>
      <c r="F179" s="95">
        <v>345</v>
      </c>
      <c r="G179" s="95">
        <v>244</v>
      </c>
      <c r="H179" s="17" t="s">
        <v>183</v>
      </c>
      <c r="I179" s="93" t="str">
        <f>IF(OR(F179=152,F179=162,F179=510),IF((OR(LEFT(RIGHT(E179,13),1)={"A","D","E","F","G","I","L","N","P","R","S","T","V"})),"Ф",""),"")</f>
        <v/>
      </c>
    </row>
    <row r="180" spans="4:9" x14ac:dyDescent="0.3">
      <c r="D180" s="48" t="str">
        <f>CONCATENATE(УЧРЕЖДЕНИЯ!$A$7)</f>
        <v>МХШ</v>
      </c>
      <c r="E180" s="92" t="s">
        <v>331</v>
      </c>
      <c r="F180" s="95">
        <v>346</v>
      </c>
      <c r="G180" s="95">
        <v>244</v>
      </c>
      <c r="H180" s="17" t="s">
        <v>183</v>
      </c>
      <c r="I180" s="93" t="str">
        <f>IF(OR(F180=152,F180=162,F180=510),IF((OR(LEFT(RIGHT(E180,13),1)={"A","D","E","F","G","I","L","N","P","R","S","T","V"})),"Ф",""),"")</f>
        <v/>
      </c>
    </row>
    <row r="181" spans="4:9" x14ac:dyDescent="0.3">
      <c r="D181" s="48" t="str">
        <f>CONCATENATE(УЧРЕЖДЕНИЯ!$A$7)</f>
        <v>МХШ</v>
      </c>
      <c r="E181" s="92" t="s">
        <v>331</v>
      </c>
      <c r="F181" s="95">
        <v>349</v>
      </c>
      <c r="G181" s="95">
        <v>244</v>
      </c>
      <c r="H181" s="17" t="s">
        <v>183</v>
      </c>
      <c r="I181" s="93" t="str">
        <f>IF(OR(F181=152,F181=162,F181=510),IF((OR(LEFT(RIGHT(E181,13),1)={"A","D","E","F","G","I","L","N","P","R","S","T","V"})),"Ф",""),"")</f>
        <v/>
      </c>
    </row>
    <row r="182" spans="4:9" x14ac:dyDescent="0.3">
      <c r="D182" s="48" t="str">
        <f>CONCATENATE(УЧРЕЖДЕНИЯ!$A$7)</f>
        <v>МХШ</v>
      </c>
      <c r="E182" s="92" t="s">
        <v>651</v>
      </c>
      <c r="F182" s="95">
        <v>2231</v>
      </c>
      <c r="G182" s="95">
        <v>247</v>
      </c>
      <c r="H182" s="17" t="s">
        <v>183</v>
      </c>
      <c r="I182" s="93" t="str">
        <f>IF(OR(F182=152,F182=162,F182=510),IF((OR(LEFT(RIGHT(E182,13),1)={"A","D","E","F","G","I","L","N","P","R","S","T","V"})),"Ф",""),"")</f>
        <v/>
      </c>
    </row>
    <row r="183" spans="4:9" x14ac:dyDescent="0.3">
      <c r="D183" s="48" t="str">
        <f>CONCATENATE(УЧРЕЖДЕНИЯ!$A$7)</f>
        <v>МХШ</v>
      </c>
      <c r="E183" s="92" t="s">
        <v>663</v>
      </c>
      <c r="F183" s="95">
        <v>2232</v>
      </c>
      <c r="G183" s="95">
        <v>247</v>
      </c>
      <c r="H183" s="17" t="s">
        <v>183</v>
      </c>
      <c r="I183" s="93" t="str">
        <f>IF(OR(F183=152,F183=162,F183=510),IF((OR(LEFT(RIGHT(E183,13),1)={"A","D","E","F","G","I","L","N","P","R","S","T","V"})),"Ф",""),"")</f>
        <v/>
      </c>
    </row>
    <row r="184" spans="4:9" x14ac:dyDescent="0.3">
      <c r="D184" s="48" t="str">
        <f>CONCATENATE(УЧРЕЖДЕНИЯ!$A$7)</f>
        <v>МХШ</v>
      </c>
      <c r="E184" s="92" t="s">
        <v>333</v>
      </c>
      <c r="F184" s="95">
        <v>262</v>
      </c>
      <c r="G184" s="95">
        <v>360</v>
      </c>
      <c r="H184" s="17" t="s">
        <v>183</v>
      </c>
      <c r="I184" s="93" t="str">
        <f>IF(OR(F184=152,F184=162,F184=510),IF((OR(LEFT(RIGHT(E184,13),1)={"A","D","E","F","G","I","L","N","P","R","S","T","V"})),"Ф",""),"")</f>
        <v/>
      </c>
    </row>
    <row r="185" spans="4:9" x14ac:dyDescent="0.3">
      <c r="D185" s="48" t="str">
        <f>CONCATENATE(УЧРЕЖДЕНИЯ!$A$7)</f>
        <v>МХШ</v>
      </c>
      <c r="E185" s="92" t="s">
        <v>326</v>
      </c>
      <c r="F185" s="95">
        <v>510</v>
      </c>
      <c r="G185" s="95">
        <v>510</v>
      </c>
      <c r="H185" s="17" t="s">
        <v>183</v>
      </c>
      <c r="I185" s="93" t="str">
        <f>IF(OR(F185=152,F185=162,F185=510),IF((OR(LEFT(RIGHT(E185,13),1)={"A","D","E","F","G","I","L","N","P","R","S","T","V"})),"Ф",""),"")</f>
        <v/>
      </c>
    </row>
    <row r="186" spans="4:9" x14ac:dyDescent="0.3">
      <c r="D186" s="48" t="str">
        <f>CONCATENATE(УЧРЕЖДЕНИЯ!$A$7)</f>
        <v>МХШ</v>
      </c>
      <c r="E186" s="92" t="s">
        <v>335</v>
      </c>
      <c r="F186" s="95">
        <v>291</v>
      </c>
      <c r="G186" s="95">
        <v>852</v>
      </c>
      <c r="H186" s="17" t="s">
        <v>183</v>
      </c>
      <c r="I186" s="93" t="str">
        <f>IF(OR(F186=152,F186=162,F186=510),IF((OR(LEFT(RIGHT(E186,13),1)={"A","D","E","F","G","I","L","N","P","R","S","T","V"})),"Ф",""),"")</f>
        <v/>
      </c>
    </row>
    <row r="187" spans="4:9" x14ac:dyDescent="0.3">
      <c r="D187" s="48" t="str">
        <f>CONCATENATE(УЧРЕЖДЕНИЯ!$A$7)</f>
        <v>МХШ</v>
      </c>
      <c r="E187" s="92" t="s">
        <v>336</v>
      </c>
      <c r="F187" s="95">
        <v>292</v>
      </c>
      <c r="G187" s="95">
        <v>853</v>
      </c>
      <c r="H187" s="17" t="s">
        <v>183</v>
      </c>
      <c r="I187" s="93" t="str">
        <f>IF(OR(F187=152,F187=162,F187=510),IF((OR(LEFT(RIGHT(E187,13),1)={"A","D","E","F","G","I","L","N","P","R","S","T","V"})),"Ф",""),"")</f>
        <v/>
      </c>
    </row>
    <row r="188" spans="4:9" x14ac:dyDescent="0.3">
      <c r="D188" s="48" t="str">
        <f>CONCATENATE(УЧРЕЖДЕНИЯ!$A$7)</f>
        <v>МХШ</v>
      </c>
      <c r="E188" s="92" t="s">
        <v>336</v>
      </c>
      <c r="F188" s="95">
        <v>293</v>
      </c>
      <c r="G188" s="95">
        <v>853</v>
      </c>
      <c r="H188" s="17" t="s">
        <v>183</v>
      </c>
      <c r="I188" s="93" t="str">
        <f>IF(OR(F188=152,F188=162,F188=510),IF((OR(LEFT(RIGHT(E188,13),1)={"A","D","E","F","G","I","L","N","P","R","S","T","V"})),"Ф",""),"")</f>
        <v/>
      </c>
    </row>
    <row r="189" spans="4:9" x14ac:dyDescent="0.3">
      <c r="D189" s="48" t="str">
        <f>CONCATENATE(УЧРЕЖДЕНИЯ!$A$7)</f>
        <v>МХШ</v>
      </c>
      <c r="E189" s="92" t="s">
        <v>336</v>
      </c>
      <c r="F189" s="95">
        <v>295</v>
      </c>
      <c r="G189" s="95">
        <v>853</v>
      </c>
      <c r="H189" s="17" t="s">
        <v>183</v>
      </c>
      <c r="I189" s="93" t="str">
        <f>IF(OR(F189=152,F189=162,F189=510),IF((OR(LEFT(RIGHT(E189,13),1)={"A","D","E","F","G","I","L","N","P","R","S","T","V"})),"Ф",""),"")</f>
        <v/>
      </c>
    </row>
    <row r="190" spans="4:9" x14ac:dyDescent="0.3">
      <c r="D190" s="48" t="str">
        <f>CONCATENATE(УЧРЕЖДЕНИЯ!$A$7)</f>
        <v>МХШ</v>
      </c>
      <c r="E190" s="92" t="s">
        <v>340</v>
      </c>
      <c r="F190" s="93">
        <v>510</v>
      </c>
      <c r="G190" s="95">
        <v>510</v>
      </c>
      <c r="H190" s="17" t="s">
        <v>183</v>
      </c>
      <c r="I190" s="93" t="str">
        <f>IF(OR(F190=152,F190=162,F190=510),IF((OR(LEFT(RIGHT(E190,13),1)={"A","D","E","F","G","I","L","N","P","R","S","T","V"})),"Ф",""),"")</f>
        <v/>
      </c>
    </row>
    <row r="191" spans="4:9" x14ac:dyDescent="0.3">
      <c r="D191" s="48" t="str">
        <f>CONCATENATE(УЧРЕЖДЕНИЯ!$A$7)</f>
        <v>МХШ</v>
      </c>
      <c r="E191" s="92" t="s">
        <v>341</v>
      </c>
      <c r="F191" s="93">
        <v>6101</v>
      </c>
      <c r="G191" s="93">
        <v>610</v>
      </c>
      <c r="H191" s="17" t="s">
        <v>183</v>
      </c>
      <c r="I191" s="93" t="str">
        <f>IF(OR(F191=152,F191=162,F191=510),IF((OR(LEFT(RIGHT(E191,13),1)={"A","D","E","F","G","I","L","N","P","R","S","T","V"})),"Ф",""),"")</f>
        <v/>
      </c>
    </row>
    <row r="192" spans="4:9" x14ac:dyDescent="0.3">
      <c r="D192" s="48" t="str">
        <f>CONCATENATE(УЧРЕЖДЕНИЯ!$A$7)</f>
        <v>МХШ</v>
      </c>
      <c r="E192" s="92" t="s">
        <v>343</v>
      </c>
      <c r="F192" s="93">
        <v>155</v>
      </c>
      <c r="G192" s="93">
        <v>150</v>
      </c>
      <c r="H192" s="17" t="s">
        <v>183</v>
      </c>
      <c r="I192" s="93" t="str">
        <f>IF(OR(F192=152,F192=162,F192=510),IF((OR(LEFT(RIGHT(E192,13),1)={"A","D","E","F","G","I","L","N","P","R","S","T","V"})),"Ф",""),"")</f>
        <v/>
      </c>
    </row>
    <row r="193" spans="2:9" x14ac:dyDescent="0.3">
      <c r="D193" s="48" t="str">
        <f>CONCATENATE(УЧРЕЖДЕНИЯ!$A$7)</f>
        <v>МХШ</v>
      </c>
      <c r="E193" s="92" t="s">
        <v>344</v>
      </c>
      <c r="F193" s="93">
        <v>225</v>
      </c>
      <c r="G193" s="93">
        <v>244</v>
      </c>
      <c r="H193" s="17" t="s">
        <v>183</v>
      </c>
      <c r="I193" s="93" t="str">
        <f>IF(OR(F193=152,F193=162,F193=510),IF((OR(LEFT(RIGHT(E193,13),1)={"A","D","E","F","G","I","L","N","P","R","S","T","V"})),"Ф",""),"")</f>
        <v/>
      </c>
    </row>
    <row r="194" spans="2:9" x14ac:dyDescent="0.3">
      <c r="D194" s="48" t="str">
        <f>CONCATENATE(УЧРЕЖДЕНИЯ!$A$7)</f>
        <v>МХШ</v>
      </c>
      <c r="E194" s="92" t="s">
        <v>344</v>
      </c>
      <c r="F194" s="93">
        <v>226</v>
      </c>
      <c r="G194" s="93">
        <v>244</v>
      </c>
      <c r="H194" s="17" t="s">
        <v>183</v>
      </c>
      <c r="I194" s="93" t="str">
        <f>IF(OR(F194=152,F194=162,F194=510),IF((OR(LEFT(RIGHT(E194,13),1)={"A","D","E","F","G","I","L","N","P","R","S","T","V"})),"Ф",""),"")</f>
        <v/>
      </c>
    </row>
    <row r="195" spans="2:9" x14ac:dyDescent="0.3">
      <c r="D195" s="48" t="str">
        <f>CONCATENATE(УЧРЕЖДЕНИЯ!$A$7)</f>
        <v>МХШ</v>
      </c>
      <c r="E195" s="92" t="s">
        <v>344</v>
      </c>
      <c r="F195" s="93">
        <v>296</v>
      </c>
      <c r="G195" s="93">
        <v>244</v>
      </c>
      <c r="H195" s="17" t="s">
        <v>183</v>
      </c>
      <c r="I195" s="93" t="str">
        <f>IF(OR(F195=152,F195=162,F195=510),IF((OR(LEFT(RIGHT(E195,13),1)={"A","D","E","F","G","I","L","N","P","R","S","T","V"})),"Ф",""),"")</f>
        <v/>
      </c>
    </row>
    <row r="196" spans="2:9" x14ac:dyDescent="0.3">
      <c r="D196" s="48" t="str">
        <f>CONCATENATE(УЧРЕЖДЕНИЯ!$A$7)</f>
        <v>МХШ</v>
      </c>
      <c r="E196" s="92" t="s">
        <v>344</v>
      </c>
      <c r="F196" s="93">
        <v>310</v>
      </c>
      <c r="G196" s="93">
        <v>244</v>
      </c>
      <c r="H196" s="17" t="s">
        <v>183</v>
      </c>
      <c r="I196" s="93" t="str">
        <f>IF(OR(F196=152,F196=162,F196=510),IF((OR(LEFT(RIGHT(E196,13),1)={"A","D","E","F","G","I","L","N","P","R","S","T","V"})),"Ф",""),"")</f>
        <v/>
      </c>
    </row>
    <row r="197" spans="2:9" x14ac:dyDescent="0.3">
      <c r="D197" s="48" t="str">
        <f>CONCATENATE(УЧРЕЖДЕНИЯ!$A$7)</f>
        <v>МХШ</v>
      </c>
      <c r="E197" s="92" t="s">
        <v>344</v>
      </c>
      <c r="F197" s="93">
        <v>345</v>
      </c>
      <c r="G197" s="93">
        <v>244</v>
      </c>
      <c r="H197" s="17" t="s">
        <v>183</v>
      </c>
      <c r="I197" s="93" t="str">
        <f>IF(OR(F197=152,F197=162,F197=510),IF((OR(LEFT(RIGHT(E197,13),1)={"A","D","E","F","G","I","L","N","P","R","S","T","V"})),"Ф",""),"")</f>
        <v/>
      </c>
    </row>
    <row r="198" spans="2:9" x14ac:dyDescent="0.3">
      <c r="D198" s="48" t="str">
        <f>CONCATENATE(УЧРЕЖДЕНИЯ!$A$7)</f>
        <v>МХШ</v>
      </c>
      <c r="E198" s="92" t="s">
        <v>344</v>
      </c>
      <c r="F198" s="93">
        <v>346</v>
      </c>
      <c r="G198" s="93">
        <v>244</v>
      </c>
      <c r="H198" s="17" t="s">
        <v>183</v>
      </c>
      <c r="I198" s="93" t="str">
        <f>IF(OR(F198=152,F198=162,F198=510),IF((OR(LEFT(RIGHT(E198,13),1)={"A","D","E","F","G","I","L","N","P","R","S","T","V"})),"Ф",""),"")</f>
        <v/>
      </c>
    </row>
    <row r="199" spans="2:9" x14ac:dyDescent="0.3">
      <c r="D199" s="48" t="str">
        <f>CONCATENATE(УЧРЕЖДЕНИЯ!$A$7)</f>
        <v>МХШ</v>
      </c>
      <c r="E199" s="92" t="s">
        <v>344</v>
      </c>
      <c r="F199" s="93">
        <v>349</v>
      </c>
      <c r="G199" s="93">
        <v>244</v>
      </c>
      <c r="H199" s="17" t="s">
        <v>183</v>
      </c>
      <c r="I199" s="93" t="str">
        <f>IF(OR(F199=152,F199=162,F199=510),IF((OR(LEFT(RIGHT(E199,13),1)={"A","D","E","F","G","I","L","N","P","R","S","T","V"})),"Ф",""),"")</f>
        <v/>
      </c>
    </row>
    <row r="200" spans="2:9" x14ac:dyDescent="0.3">
      <c r="D200" s="48" t="str">
        <f>CONCATENATE(УЧРЕЖДЕНИЯ!$A$7)</f>
        <v>МХШ</v>
      </c>
      <c r="E200" s="92" t="s">
        <v>342</v>
      </c>
      <c r="F200" s="93">
        <v>510</v>
      </c>
      <c r="G200" s="95">
        <v>510</v>
      </c>
      <c r="H200" s="17" t="s">
        <v>183</v>
      </c>
      <c r="I200" s="93" t="str">
        <f>IF(OR(F200=152,F200=162,F200=510),IF((OR(LEFT(RIGHT(E200,13),1)={"A","D","E","F","G","I","L","N","P","R","S","T","V"})),"Ф",""),"")</f>
        <v/>
      </c>
    </row>
    <row r="201" spans="2:9" x14ac:dyDescent="0.3">
      <c r="B201" s="48" t="s">
        <v>703</v>
      </c>
      <c r="C201" s="48" t="s">
        <v>129</v>
      </c>
      <c r="D201" s="48" t="str">
        <f>CONCATENATE(УЧРЕЖДЕНИЯ!$A$8)</f>
        <v>ЦБС</v>
      </c>
      <c r="E201" s="92" t="s">
        <v>348</v>
      </c>
      <c r="F201" s="93">
        <v>121</v>
      </c>
      <c r="G201" s="93">
        <v>120</v>
      </c>
      <c r="H201" s="17" t="s">
        <v>187</v>
      </c>
      <c r="I201" s="93" t="str">
        <f>IF(OR(F201=152,F201=162,F201=510),IF((OR(LEFT(RIGHT(E201,13),1)={"A","D","E","F","G","I","L","N","P","R","S","T","V"})),"Ф",""),"")</f>
        <v/>
      </c>
    </row>
    <row r="202" spans="2:9" x14ac:dyDescent="0.3">
      <c r="D202" s="48" t="str">
        <f>CONCATENATE(УЧРЕЖДЕНИЯ!$A$8)</f>
        <v>ЦБС</v>
      </c>
      <c r="E202" s="92" t="s">
        <v>349</v>
      </c>
      <c r="F202" s="95">
        <v>221</v>
      </c>
      <c r="G202" s="95">
        <v>244</v>
      </c>
      <c r="H202" s="17" t="s">
        <v>187</v>
      </c>
      <c r="I202" s="93" t="str">
        <f>IF(OR(F202=152,F202=162,F202=510),IF((OR(LEFT(RIGHT(E202,13),1)={"A","D","E","F","G","I","L","N","P","R","S","T","V"})),"Ф",""),"")</f>
        <v/>
      </c>
    </row>
    <row r="203" spans="2:9" x14ac:dyDescent="0.3">
      <c r="D203" s="48" t="str">
        <f>CONCATENATE(УЧРЕЖДЕНИЯ!$A$8)</f>
        <v>ЦБС</v>
      </c>
      <c r="E203" s="92" t="s">
        <v>349</v>
      </c>
      <c r="F203" s="95">
        <v>225</v>
      </c>
      <c r="G203" s="95">
        <v>244</v>
      </c>
      <c r="H203" s="17" t="s">
        <v>187</v>
      </c>
      <c r="I203" s="93" t="str">
        <f>IF(OR(F203=152,F203=162,F203=510),IF((OR(LEFT(RIGHT(E203,13),1)={"A","D","E","F","G","I","L","N","P","R","S","T","V"})),"Ф",""),"")</f>
        <v/>
      </c>
    </row>
    <row r="204" spans="2:9" x14ac:dyDescent="0.3">
      <c r="D204" s="48" t="str">
        <f>CONCATENATE(УЧРЕЖДЕНИЯ!$A$8)</f>
        <v>ЦБС</v>
      </c>
      <c r="E204" s="92" t="s">
        <v>349</v>
      </c>
      <c r="F204" s="95">
        <v>226</v>
      </c>
      <c r="G204" s="95">
        <v>244</v>
      </c>
      <c r="H204" s="17" t="s">
        <v>187</v>
      </c>
      <c r="I204" s="93" t="str">
        <f>IF(OR(F204=152,F204=162,F204=510),IF((OR(LEFT(RIGHT(E204,13),1)={"A","D","E","F","G","I","L","N","P","R","S","T","V"})),"Ф",""),"")</f>
        <v/>
      </c>
    </row>
    <row r="205" spans="2:9" x14ac:dyDescent="0.3">
      <c r="D205" s="48" t="str">
        <f>CONCATENATE(УЧРЕЖДЕНИЯ!$A$8)</f>
        <v>ЦБС</v>
      </c>
      <c r="E205" s="92" t="s">
        <v>349</v>
      </c>
      <c r="F205" s="95">
        <v>310</v>
      </c>
      <c r="G205" s="95">
        <v>244</v>
      </c>
      <c r="H205" s="17" t="s">
        <v>187</v>
      </c>
      <c r="I205" s="93" t="str">
        <f>IF(OR(F205=152,F205=162,F205=510),IF((OR(LEFT(RIGHT(E205,13),1)={"A","D","E","F","G","I","L","N","P","R","S","T","V"})),"Ф",""),"")</f>
        <v/>
      </c>
    </row>
    <row r="206" spans="2:9" x14ac:dyDescent="0.3">
      <c r="D206" s="48" t="str">
        <f>CONCATENATE(УЧРЕЖДЕНИЯ!$A$8)</f>
        <v>ЦБС</v>
      </c>
      <c r="E206" s="92" t="s">
        <v>349</v>
      </c>
      <c r="F206" s="95">
        <v>346</v>
      </c>
      <c r="G206" s="95">
        <v>244</v>
      </c>
      <c r="H206" s="17" t="s">
        <v>187</v>
      </c>
      <c r="I206" s="93" t="str">
        <f>IF(OR(F206=152,F206=162,F206=510),IF((OR(LEFT(RIGHT(E206,13),1)={"A","D","E","F","G","I","L","N","P","R","S","T","V"})),"Ф",""),"")</f>
        <v/>
      </c>
    </row>
    <row r="207" spans="2:9" x14ac:dyDescent="0.3">
      <c r="D207" s="48" t="str">
        <f>CONCATENATE(УЧРЕЖДЕНИЯ!$A$8)</f>
        <v>ЦБС</v>
      </c>
      <c r="E207" s="92" t="s">
        <v>349</v>
      </c>
      <c r="F207" s="95">
        <v>349</v>
      </c>
      <c r="G207" s="95">
        <v>244</v>
      </c>
      <c r="H207" s="17" t="s">
        <v>187</v>
      </c>
      <c r="I207" s="93" t="str">
        <f>IF(OR(F207=152,F207=162,F207=510),IF((OR(LEFT(RIGHT(E207,13),1)={"A","D","E","F","G","I","L","N","P","R","S","T","V"})),"Ф",""),"")</f>
        <v/>
      </c>
    </row>
    <row r="208" spans="2:9" x14ac:dyDescent="0.3">
      <c r="D208" s="48" t="str">
        <f>CONCATENATE(УЧРЕЖДЕНИЯ!$A$8)</f>
        <v>ЦБС</v>
      </c>
      <c r="E208" s="92" t="s">
        <v>327</v>
      </c>
      <c r="F208" s="95">
        <v>131</v>
      </c>
      <c r="G208" s="95">
        <v>130</v>
      </c>
      <c r="H208" s="17" t="s">
        <v>187</v>
      </c>
      <c r="I208" s="93" t="str">
        <f>IF(OR(F208=152,F208=162,F208=510),IF((OR(LEFT(RIGHT(E208,13),1)={"A","D","E","F","G","I","L","N","P","R","S","T","V"})),"Ф",""),"")</f>
        <v/>
      </c>
    </row>
    <row r="209" spans="4:9" x14ac:dyDescent="0.3">
      <c r="D209" s="48" t="str">
        <f>CONCATENATE(УЧРЕЖДЕНИЯ!$A$8)</f>
        <v>ЦБС</v>
      </c>
      <c r="E209" s="92" t="s">
        <v>328</v>
      </c>
      <c r="F209" s="95">
        <v>211</v>
      </c>
      <c r="G209" s="95">
        <v>111</v>
      </c>
      <c r="H209" s="17" t="s">
        <v>187</v>
      </c>
      <c r="I209" s="93" t="str">
        <f>IF(OR(F209=152,F209=162,F209=510),IF((OR(LEFT(RIGHT(E209,13),1)={"A","D","E","F","G","I","L","N","P","R","S","T","V"})),"Ф",""),"")</f>
        <v/>
      </c>
    </row>
    <row r="210" spans="4:9" x14ac:dyDescent="0.3">
      <c r="D210" s="48" t="str">
        <f>CONCATENATE(УЧРЕЖДЕНИЯ!$A$8)</f>
        <v>ЦБС</v>
      </c>
      <c r="E210" s="92" t="s">
        <v>329</v>
      </c>
      <c r="F210" s="95">
        <v>212</v>
      </c>
      <c r="G210" s="95">
        <v>112</v>
      </c>
      <c r="H210" s="17" t="s">
        <v>187</v>
      </c>
      <c r="I210" s="93" t="str">
        <f>IF(OR(F210=152,F210=162,F210=510),IF((OR(LEFT(RIGHT(E210,13),1)={"A","D","E","F","G","I","L","N","P","R","S","T","V"})),"Ф",""),"")</f>
        <v/>
      </c>
    </row>
    <row r="211" spans="4:9" x14ac:dyDescent="0.3">
      <c r="D211" s="48" t="str">
        <f>CONCATENATE(УЧРЕЖДЕНИЯ!$A$8)</f>
        <v>ЦБС</v>
      </c>
      <c r="E211" s="92" t="s">
        <v>329</v>
      </c>
      <c r="F211" s="95">
        <v>226</v>
      </c>
      <c r="G211" s="95">
        <v>112</v>
      </c>
      <c r="H211" s="17" t="s">
        <v>187</v>
      </c>
      <c r="I211" s="93" t="str">
        <f>IF(OR(F211=152,F211=162,F211=510),IF((OR(LEFT(RIGHT(E211,13),1)={"A","D","E","F","G","I","L","N","P","R","S","T","V"})),"Ф",""),"")</f>
        <v/>
      </c>
    </row>
    <row r="212" spans="4:9" x14ac:dyDescent="0.3">
      <c r="D212" s="48" t="str">
        <f>CONCATENATE(УЧРЕЖДЕНИЯ!$A$8)</f>
        <v>ЦБС</v>
      </c>
      <c r="E212" s="92" t="s">
        <v>330</v>
      </c>
      <c r="F212" s="95">
        <v>213</v>
      </c>
      <c r="G212" s="95">
        <v>119</v>
      </c>
      <c r="H212" s="17" t="s">
        <v>187</v>
      </c>
      <c r="I212" s="93" t="str">
        <f>IF(OR(F212=152,F212=162,F212=510),IF((OR(LEFT(RIGHT(E212,13),1)={"A","D","E","F","G","I","L","N","P","R","S","T","V"})),"Ф",""),"")</f>
        <v/>
      </c>
    </row>
    <row r="213" spans="4:9" x14ac:dyDescent="0.3">
      <c r="D213" s="48" t="str">
        <f>CONCATENATE(УЧРЕЖДЕНИЯ!$A$8)</f>
        <v>ЦБС</v>
      </c>
      <c r="E213" s="92" t="s">
        <v>331</v>
      </c>
      <c r="F213" s="95">
        <v>221</v>
      </c>
      <c r="G213" s="95">
        <v>244</v>
      </c>
      <c r="H213" s="17" t="s">
        <v>187</v>
      </c>
      <c r="I213" s="93" t="str">
        <f>IF(OR(F213=152,F213=162,F213=510),IF((OR(LEFT(RIGHT(E213,13),1)={"A","D","E","F","G","I","L","N","P","R","S","T","V"})),"Ф",""),"")</f>
        <v/>
      </c>
    </row>
    <row r="214" spans="4:9" x14ac:dyDescent="0.3">
      <c r="D214" s="48" t="str">
        <f>CONCATENATE(УЧРЕЖДЕНИЯ!$A$8)</f>
        <v>ЦБС</v>
      </c>
      <c r="E214" s="92" t="s">
        <v>331</v>
      </c>
      <c r="F214" s="95">
        <v>222</v>
      </c>
      <c r="G214" s="95">
        <v>244</v>
      </c>
      <c r="H214" s="17" t="s">
        <v>187</v>
      </c>
      <c r="I214" s="93" t="str">
        <f>IF(OR(F214=152,F214=162,F214=510),IF((OR(LEFT(RIGHT(E214,13),1)={"A","D","E","F","G","I","L","N","P","R","S","T","V"})),"Ф",""),"")</f>
        <v/>
      </c>
    </row>
    <row r="215" spans="4:9" x14ac:dyDescent="0.3">
      <c r="D215" s="48" t="str">
        <f>CONCATENATE(УЧРЕЖДЕНИЯ!$A$8)</f>
        <v>ЦБС</v>
      </c>
      <c r="E215" s="92" t="s">
        <v>332</v>
      </c>
      <c r="F215" s="95">
        <v>2233</v>
      </c>
      <c r="G215" s="95">
        <v>244</v>
      </c>
      <c r="H215" s="17" t="s">
        <v>187</v>
      </c>
      <c r="I215" s="93" t="str">
        <f>IF(OR(F215=152,F215=162,F215=510),IF((OR(LEFT(RIGHT(E215,13),1)={"A","D","E","F","G","I","L","N","P","R","S","T","V"})),"Ф",""),"")</f>
        <v/>
      </c>
    </row>
    <row r="216" spans="4:9" x14ac:dyDescent="0.3">
      <c r="D216" s="48" t="str">
        <f>CONCATENATE(УЧРЕЖДЕНИЯ!$A$8)</f>
        <v>ЦБС</v>
      </c>
      <c r="E216" s="92" t="s">
        <v>331</v>
      </c>
      <c r="F216" s="95">
        <v>224</v>
      </c>
      <c r="G216" s="95">
        <v>244</v>
      </c>
      <c r="H216" s="17" t="s">
        <v>187</v>
      </c>
      <c r="I216" s="93" t="str">
        <f>IF(OR(F216=152,F216=162,F216=510),IF((OR(LEFT(RIGHT(E216,13),1)={"A","D","E","F","G","I","L","N","P","R","S","T","V"})),"Ф",""),"")</f>
        <v/>
      </c>
    </row>
    <row r="217" spans="4:9" x14ac:dyDescent="0.3">
      <c r="D217" s="48" t="str">
        <f>CONCATENATE(УЧРЕЖДЕНИЯ!$A$8)</f>
        <v>ЦБС</v>
      </c>
      <c r="E217" s="92" t="s">
        <v>331</v>
      </c>
      <c r="F217" s="95">
        <v>225</v>
      </c>
      <c r="G217" s="95">
        <v>244</v>
      </c>
      <c r="H217" s="17" t="s">
        <v>187</v>
      </c>
      <c r="I217" s="93" t="str">
        <f>IF(OR(F217=152,F217=162,F217=510),IF((OR(LEFT(RIGHT(E217,13),1)={"A","D","E","F","G","I","L","N","P","R","S","T","V"})),"Ф",""),"")</f>
        <v/>
      </c>
    </row>
    <row r="218" spans="4:9" x14ac:dyDescent="0.3">
      <c r="D218" s="48" t="str">
        <f>CONCATENATE(УЧРЕЖДЕНИЯ!$A$8)</f>
        <v>ЦБС</v>
      </c>
      <c r="E218" s="92" t="s">
        <v>331</v>
      </c>
      <c r="F218" s="95">
        <v>226</v>
      </c>
      <c r="G218" s="95">
        <v>244</v>
      </c>
      <c r="H218" s="17" t="s">
        <v>187</v>
      </c>
      <c r="I218" s="93" t="str">
        <f>IF(OR(F218=152,F218=162,F218=510),IF((OR(LEFT(RIGHT(E218,13),1)={"A","D","E","F","G","I","L","N","P","R","S","T","V"})),"Ф",""),"")</f>
        <v/>
      </c>
    </row>
    <row r="219" spans="4:9" x14ac:dyDescent="0.3">
      <c r="D219" s="48" t="str">
        <f>CONCATENATE(УЧРЕЖДЕНИЯ!$A$8)</f>
        <v>ЦБС</v>
      </c>
      <c r="E219" s="92" t="s">
        <v>331</v>
      </c>
      <c r="F219" s="95">
        <v>296</v>
      </c>
      <c r="G219" s="95">
        <v>244</v>
      </c>
      <c r="H219" s="17" t="s">
        <v>187</v>
      </c>
      <c r="I219" s="93" t="str">
        <f>IF(OR(F219=152,F219=162,F219=510),IF((OR(LEFT(RIGHT(E219,13),1)={"A","D","E","F","G","I","L","N","P","R","S","T","V"})),"Ф",""),"")</f>
        <v/>
      </c>
    </row>
    <row r="220" spans="4:9" x14ac:dyDescent="0.3">
      <c r="D220" s="48" t="str">
        <f>CONCATENATE(УЧРЕЖДЕНИЯ!$A$8)</f>
        <v>ЦБС</v>
      </c>
      <c r="E220" s="92" t="s">
        <v>331</v>
      </c>
      <c r="F220" s="95">
        <v>310</v>
      </c>
      <c r="G220" s="95">
        <v>244</v>
      </c>
      <c r="H220" s="17" t="s">
        <v>187</v>
      </c>
      <c r="I220" s="93" t="str">
        <f>IF(OR(F220=152,F220=162,F220=510),IF((OR(LEFT(RIGHT(E220,13),1)={"A","D","E","F","G","I","L","N","P","R","S","T","V"})),"Ф",""),"")</f>
        <v/>
      </c>
    </row>
    <row r="221" spans="4:9" x14ac:dyDescent="0.3">
      <c r="D221" s="48" t="str">
        <f>CONCATENATE(УЧРЕЖДЕНИЯ!$A$8)</f>
        <v>ЦБС</v>
      </c>
      <c r="E221" s="92" t="s">
        <v>331</v>
      </c>
      <c r="F221" s="95">
        <v>341</v>
      </c>
      <c r="G221" s="95">
        <v>244</v>
      </c>
      <c r="H221" s="17" t="s">
        <v>187</v>
      </c>
      <c r="I221" s="93" t="str">
        <f>IF(OR(F221=152,F221=162,F221=510),IF((OR(LEFT(RIGHT(E221,13),1)={"A","D","E","F","G","I","L","N","P","R","S","T","V"})),"Ф",""),"")</f>
        <v/>
      </c>
    </row>
    <row r="222" spans="4:9" x14ac:dyDescent="0.3">
      <c r="D222" s="48" t="str">
        <f>CONCATENATE(УЧРЕЖДЕНИЯ!$A$8)</f>
        <v>ЦБС</v>
      </c>
      <c r="E222" s="92" t="s">
        <v>331</v>
      </c>
      <c r="F222" s="95">
        <v>344</v>
      </c>
      <c r="G222" s="95">
        <v>244</v>
      </c>
      <c r="H222" s="17" t="s">
        <v>187</v>
      </c>
      <c r="I222" s="93" t="str">
        <f>IF(OR(F222=152,F222=162,F222=510),IF((OR(LEFT(RIGHT(E222,13),1)={"A","D","E","F","G","I","L","N","P","R","S","T","V"})),"Ф",""),"")</f>
        <v/>
      </c>
    </row>
    <row r="223" spans="4:9" x14ac:dyDescent="0.3">
      <c r="D223" s="48" t="str">
        <f>CONCATENATE(УЧРЕЖДЕНИЯ!$A$8)</f>
        <v>ЦБС</v>
      </c>
      <c r="E223" s="92" t="s">
        <v>331</v>
      </c>
      <c r="F223" s="95">
        <v>345</v>
      </c>
      <c r="G223" s="95">
        <v>244</v>
      </c>
      <c r="H223" s="17" t="s">
        <v>187</v>
      </c>
      <c r="I223" s="93" t="str">
        <f>IF(OR(F223=152,F223=162,F223=510),IF((OR(LEFT(RIGHT(E223,13),1)={"A","D","E","F","G","I","L","N","P","R","S","T","V"})),"Ф",""),"")</f>
        <v/>
      </c>
    </row>
    <row r="224" spans="4:9" x14ac:dyDescent="0.3">
      <c r="D224" s="48" t="str">
        <f>CONCATENATE(УЧРЕЖДЕНИЯ!$A$8)</f>
        <v>ЦБС</v>
      </c>
      <c r="E224" s="92" t="s">
        <v>331</v>
      </c>
      <c r="F224" s="95">
        <v>346</v>
      </c>
      <c r="G224" s="95">
        <v>244</v>
      </c>
      <c r="H224" s="17" t="s">
        <v>187</v>
      </c>
      <c r="I224" s="93" t="str">
        <f>IF(OR(F224=152,F224=162,F224=510),IF((OR(LEFT(RIGHT(E224,13),1)={"A","D","E","F","G","I","L","N","P","R","S","T","V"})),"Ф",""),"")</f>
        <v/>
      </c>
    </row>
    <row r="225" spans="4:9" x14ac:dyDescent="0.3">
      <c r="D225" s="48" t="str">
        <f>CONCATENATE(УЧРЕЖДЕНИЯ!$A$8)</f>
        <v>ЦБС</v>
      </c>
      <c r="E225" s="92" t="s">
        <v>331</v>
      </c>
      <c r="F225" s="95">
        <v>349</v>
      </c>
      <c r="G225" s="95">
        <v>244</v>
      </c>
      <c r="H225" s="17" t="s">
        <v>187</v>
      </c>
      <c r="I225" s="93" t="str">
        <f>IF(OR(F225=152,F225=162,F225=510),IF((OR(LEFT(RIGHT(E225,13),1)={"A","D","E","F","G","I","L","N","P","R","S","T","V"})),"Ф",""),"")</f>
        <v/>
      </c>
    </row>
    <row r="226" spans="4:9" x14ac:dyDescent="0.3">
      <c r="D226" s="48" t="str">
        <f>CONCATENATE(УЧРЕЖДЕНИЯ!$A$8)</f>
        <v>ЦБС</v>
      </c>
      <c r="E226" s="92" t="s">
        <v>651</v>
      </c>
      <c r="F226" s="95">
        <v>2231</v>
      </c>
      <c r="G226" s="95">
        <v>247</v>
      </c>
      <c r="H226" s="17" t="s">
        <v>187</v>
      </c>
      <c r="I226" s="93" t="str">
        <f>IF(OR(F226=152,F226=162,F226=510),IF((OR(LEFT(RIGHT(E226,13),1)={"A","D","E","F","G","I","L","N","P","R","S","T","V"})),"Ф",""),"")</f>
        <v/>
      </c>
    </row>
    <row r="227" spans="4:9" x14ac:dyDescent="0.3">
      <c r="D227" s="48" t="str">
        <f>CONCATENATE(УЧРЕЖДЕНИЯ!$A$8)</f>
        <v>ЦБС</v>
      </c>
      <c r="E227" s="92" t="s">
        <v>663</v>
      </c>
      <c r="F227" s="95">
        <v>2232</v>
      </c>
      <c r="G227" s="95">
        <v>247</v>
      </c>
      <c r="H227" s="17" t="s">
        <v>187</v>
      </c>
      <c r="I227" s="93" t="str">
        <f>IF(OR(F227=152,F227=162,F227=510),IF((OR(LEFT(RIGHT(E227,13),1)={"A","D","E","F","G","I","L","N","P","R","S","T","V"})),"Ф",""),"")</f>
        <v/>
      </c>
    </row>
    <row r="228" spans="4:9" x14ac:dyDescent="0.3">
      <c r="D228" s="48" t="str">
        <f>CONCATENATE(УЧРЕЖДЕНИЯ!$A$8)</f>
        <v>ЦБС</v>
      </c>
      <c r="E228" s="92" t="s">
        <v>333</v>
      </c>
      <c r="F228" s="95">
        <v>262</v>
      </c>
      <c r="G228" s="95">
        <v>360</v>
      </c>
      <c r="H228" s="17" t="s">
        <v>187</v>
      </c>
      <c r="I228" s="93" t="str">
        <f>IF(OR(F228=152,F228=162,F228=510),IF((OR(LEFT(RIGHT(E228,13),1)={"A","D","E","F","G","I","L","N","P","R","S","T","V"})),"Ф",""),"")</f>
        <v/>
      </c>
    </row>
    <row r="229" spans="4:9" x14ac:dyDescent="0.3">
      <c r="D229" s="48" t="str">
        <f>CONCATENATE(УЧРЕЖДЕНИЯ!$A$8)</f>
        <v>ЦБС</v>
      </c>
      <c r="E229" s="92" t="s">
        <v>326</v>
      </c>
      <c r="F229" s="95">
        <v>510</v>
      </c>
      <c r="G229" s="95">
        <v>510</v>
      </c>
      <c r="H229" s="17" t="s">
        <v>187</v>
      </c>
      <c r="I229" s="93" t="str">
        <f>IF(OR(F229=152,F229=162,F229=510),IF((OR(LEFT(RIGHT(E229,13),1)={"A","D","E","F","G","I","L","N","P","R","S","T","V"})),"Ф",""),"")</f>
        <v/>
      </c>
    </row>
    <row r="230" spans="4:9" x14ac:dyDescent="0.3">
      <c r="D230" s="48" t="str">
        <f>CONCATENATE(УЧРЕЖДЕНИЯ!$A$8)</f>
        <v>ЦБС</v>
      </c>
      <c r="E230" s="92" t="s">
        <v>338</v>
      </c>
      <c r="F230" s="95">
        <v>296</v>
      </c>
      <c r="G230" s="95">
        <v>831</v>
      </c>
      <c r="H230" s="17" t="s">
        <v>187</v>
      </c>
      <c r="I230" s="93" t="str">
        <f>IF(OR(F230=152,F230=162,F230=510),IF((OR(LEFT(RIGHT(E230,13),1)={"A","D","E","F","G","I","L","N","P","R","S","T","V"})),"Ф",""),"")</f>
        <v/>
      </c>
    </row>
    <row r="231" spans="4:9" x14ac:dyDescent="0.3">
      <c r="D231" s="48" t="str">
        <f>CONCATENATE(УЧРЕЖДЕНИЯ!$A$8)</f>
        <v>ЦБС</v>
      </c>
      <c r="E231" s="92" t="s">
        <v>334</v>
      </c>
      <c r="F231" s="95">
        <v>291</v>
      </c>
      <c r="G231" s="95">
        <v>851</v>
      </c>
      <c r="H231" s="17" t="s">
        <v>187</v>
      </c>
      <c r="I231" s="93" t="str">
        <f>IF(OR(F231=152,F231=162,F231=510),IF((OR(LEFT(RIGHT(E231,13),1)={"A","D","E","F","G","I","L","N","P","R","S","T","V"})),"Ф",""),"")</f>
        <v/>
      </c>
    </row>
    <row r="232" spans="4:9" x14ac:dyDescent="0.3">
      <c r="D232" s="48" t="str">
        <f>CONCATENATE(УЧРЕЖДЕНИЯ!$A$8)</f>
        <v>ЦБС</v>
      </c>
      <c r="E232" s="92" t="s">
        <v>335</v>
      </c>
      <c r="F232" s="95">
        <v>291</v>
      </c>
      <c r="G232" s="95">
        <v>852</v>
      </c>
      <c r="H232" s="17" t="s">
        <v>187</v>
      </c>
      <c r="I232" s="93" t="str">
        <f>IF(OR(F232=152,F232=162,F232=510),IF((OR(LEFT(RIGHT(E232,13),1)={"A","D","E","F","G","I","L","N","P","R","S","T","V"})),"Ф",""),"")</f>
        <v/>
      </c>
    </row>
    <row r="233" spans="4:9" x14ac:dyDescent="0.3">
      <c r="D233" s="48" t="str">
        <f>CONCATENATE(УЧРЕЖДЕНИЯ!$A$8)</f>
        <v>ЦБС</v>
      </c>
      <c r="E233" s="92" t="s">
        <v>336</v>
      </c>
      <c r="F233" s="95">
        <v>291</v>
      </c>
      <c r="G233" s="95">
        <v>853</v>
      </c>
      <c r="H233" s="17" t="s">
        <v>187</v>
      </c>
      <c r="I233" s="93" t="str">
        <f>IF(OR(F233=152,F233=162,F233=510),IF((OR(LEFT(RIGHT(E233,13),1)={"A","D","E","F","G","I","L","N","P","R","S","T","V"})),"Ф",""),"")</f>
        <v/>
      </c>
    </row>
    <row r="234" spans="4:9" x14ac:dyDescent="0.3">
      <c r="D234" s="48" t="str">
        <f>CONCATENATE(УЧРЕЖДЕНИЯ!$A$8)</f>
        <v>ЦБС</v>
      </c>
      <c r="E234" s="92" t="s">
        <v>336</v>
      </c>
      <c r="F234" s="95">
        <v>292</v>
      </c>
      <c r="G234" s="95">
        <v>853</v>
      </c>
      <c r="H234" s="17" t="s">
        <v>187</v>
      </c>
      <c r="I234" s="93" t="str">
        <f>IF(OR(F234=152,F234=162,F234=510),IF((OR(LEFT(RIGHT(E234,13),1)={"A","D","E","F","G","I","L","N","P","R","S","T","V"})),"Ф",""),"")</f>
        <v/>
      </c>
    </row>
    <row r="235" spans="4:9" x14ac:dyDescent="0.3">
      <c r="D235" s="48" t="str">
        <f>CONCATENATE(УЧРЕЖДЕНИЯ!$A$8)</f>
        <v>ЦБС</v>
      </c>
      <c r="E235" s="92" t="s">
        <v>340</v>
      </c>
      <c r="F235" s="93">
        <v>510</v>
      </c>
      <c r="G235" s="95">
        <v>510</v>
      </c>
      <c r="H235" s="17" t="s">
        <v>187</v>
      </c>
      <c r="I235" s="93" t="str">
        <f>IF(OR(F235=152,F235=162,F235=510),IF((OR(LEFT(RIGHT(E235,13),1)={"A","D","E","F","G","I","L","N","P","R","S","T","V"})),"Ф",""),"")</f>
        <v/>
      </c>
    </row>
    <row r="236" spans="4:9" x14ac:dyDescent="0.3">
      <c r="D236" s="48" t="str">
        <f>CONCATENATE(УЧРЕЖДЕНИЯ!$A$8)</f>
        <v>ЦБС</v>
      </c>
      <c r="E236" s="92" t="s">
        <v>341</v>
      </c>
      <c r="F236" s="93">
        <v>6101</v>
      </c>
      <c r="G236" s="93">
        <v>610</v>
      </c>
      <c r="H236" s="17" t="s">
        <v>187</v>
      </c>
      <c r="I236" s="93" t="str">
        <f>IF(OR(F236=152,F236=162,F236=510),IF((OR(LEFT(RIGHT(E236,13),1)={"A","D","E","F","G","I","L","N","P","R","S","T","V"})),"Ф",""),"")</f>
        <v/>
      </c>
    </row>
    <row r="237" spans="4:9" x14ac:dyDescent="0.3">
      <c r="D237" s="48" t="str">
        <f>CONCATENATE(УЧРЕЖДЕНИЯ!$A$8)</f>
        <v>ЦБС</v>
      </c>
      <c r="E237" s="92" t="s">
        <v>343</v>
      </c>
      <c r="F237" s="93">
        <v>155</v>
      </c>
      <c r="G237" s="93">
        <v>150</v>
      </c>
      <c r="H237" s="17" t="s">
        <v>187</v>
      </c>
      <c r="I237" s="93" t="str">
        <f>IF(OR(F237=152,F237=162,F237=510),IF((OR(LEFT(RIGHT(E237,13),1)={"A","D","E","F","G","I","L","N","P","R","S","T","V"})),"Ф",""),"")</f>
        <v/>
      </c>
    </row>
    <row r="238" spans="4:9" x14ac:dyDescent="0.3">
      <c r="D238" s="48" t="str">
        <f>CONCATENATE(УЧРЕЖДЕНИЯ!$A$8)</f>
        <v>ЦБС</v>
      </c>
      <c r="E238" s="92" t="s">
        <v>344</v>
      </c>
      <c r="F238" s="93">
        <v>225</v>
      </c>
      <c r="G238" s="93">
        <v>244</v>
      </c>
      <c r="H238" s="17" t="s">
        <v>187</v>
      </c>
      <c r="I238" s="93" t="str">
        <f>IF(OR(F238=152,F238=162,F238=510),IF((OR(LEFT(RIGHT(E238,13),1)={"A","D","E","F","G","I","L","N","P","R","S","T","V"})),"Ф",""),"")</f>
        <v/>
      </c>
    </row>
    <row r="239" spans="4:9" x14ac:dyDescent="0.3">
      <c r="D239" s="48" t="str">
        <f>CONCATENATE(УЧРЕЖДЕНИЯ!$A$8)</f>
        <v>ЦБС</v>
      </c>
      <c r="E239" s="92" t="s">
        <v>344</v>
      </c>
      <c r="F239" s="93">
        <v>226</v>
      </c>
      <c r="G239" s="93">
        <v>244</v>
      </c>
      <c r="H239" s="17" t="s">
        <v>187</v>
      </c>
      <c r="I239" s="93" t="str">
        <f>IF(OR(F239=152,F239=162,F239=510),IF((OR(LEFT(RIGHT(E239,13),1)={"A","D","E","F","G","I","L","N","P","R","S","T","V"})),"Ф",""),"")</f>
        <v/>
      </c>
    </row>
    <row r="240" spans="4:9" x14ac:dyDescent="0.3">
      <c r="D240" s="48" t="str">
        <f>CONCATENATE(УЧРЕЖДЕНИЯ!$A$8)</f>
        <v>ЦБС</v>
      </c>
      <c r="E240" s="92" t="s">
        <v>344</v>
      </c>
      <c r="F240" s="93">
        <v>310</v>
      </c>
      <c r="G240" s="93">
        <v>244</v>
      </c>
      <c r="H240" s="17" t="s">
        <v>187</v>
      </c>
      <c r="I240" s="93" t="str">
        <f>IF(OR(F240=152,F240=162,F240=510),IF((OR(LEFT(RIGHT(E240,13),1)={"A","D","E","F","G","I","L","N","P","R","S","T","V"})),"Ф",""),"")</f>
        <v/>
      </c>
    </row>
    <row r="241" spans="2:9" x14ac:dyDescent="0.3">
      <c r="D241" s="48" t="str">
        <f>CONCATENATE(УЧРЕЖДЕНИЯ!$A$8)</f>
        <v>ЦБС</v>
      </c>
      <c r="E241" s="92" t="s">
        <v>342</v>
      </c>
      <c r="F241" s="93">
        <v>510</v>
      </c>
      <c r="G241" s="95">
        <v>510</v>
      </c>
      <c r="H241" s="17" t="s">
        <v>187</v>
      </c>
      <c r="I241" s="93" t="str">
        <f>IF(OR(F241=152,F241=162,F241=510),IF((OR(LEFT(RIGHT(E241,13),1)={"A","D","E","F","G","I","L","N","P","R","S","T","V"})),"Ф",""),"")</f>
        <v/>
      </c>
    </row>
    <row r="242" spans="2:9" x14ac:dyDescent="0.3">
      <c r="B242" s="48" t="s">
        <v>703</v>
      </c>
      <c r="C242" s="48" t="s">
        <v>130</v>
      </c>
      <c r="D242" s="48" t="str">
        <f>CONCATENATE(УЧРЕЖДЕНИЯ!$A$9)</f>
        <v>музей</v>
      </c>
      <c r="E242" s="92" t="s">
        <v>327</v>
      </c>
      <c r="F242" s="95">
        <v>131</v>
      </c>
      <c r="G242" s="95">
        <v>130</v>
      </c>
      <c r="H242" s="17" t="s">
        <v>187</v>
      </c>
      <c r="I242" s="93" t="str">
        <f>IF(OR(F242=152,F242=162,F242=510),IF((OR(LEFT(RIGHT(E242,13),1)={"A","D","E","F","G","I","L","N","P","R","S","T","V"})),"Ф",""),"")</f>
        <v/>
      </c>
    </row>
    <row r="243" spans="2:9" x14ac:dyDescent="0.3">
      <c r="D243" s="48" t="str">
        <f>CONCATENATE(УЧРЕЖДЕНИЯ!$A$9)</f>
        <v>музей</v>
      </c>
      <c r="E243" s="92" t="s">
        <v>328</v>
      </c>
      <c r="F243" s="95">
        <v>211</v>
      </c>
      <c r="G243" s="95">
        <v>111</v>
      </c>
      <c r="H243" s="17" t="s">
        <v>187</v>
      </c>
      <c r="I243" s="93" t="str">
        <f>IF(OR(F243=152,F243=162,F243=510),IF((OR(LEFT(RIGHT(E243,13),1)={"A","D","E","F","G","I","L","N","P","R","S","T","V"})),"Ф",""),"")</f>
        <v/>
      </c>
    </row>
    <row r="244" spans="2:9" x14ac:dyDescent="0.3">
      <c r="D244" s="48" t="str">
        <f>CONCATENATE(УЧРЕЖДЕНИЯ!$A$9)</f>
        <v>музей</v>
      </c>
      <c r="E244" s="92" t="s">
        <v>328</v>
      </c>
      <c r="F244" s="95">
        <v>266</v>
      </c>
      <c r="G244" s="95">
        <v>111</v>
      </c>
      <c r="H244" s="17" t="s">
        <v>187</v>
      </c>
      <c r="I244" s="93" t="str">
        <f>IF(OR(F244=152,F244=162,F244=510),IF((OR(LEFT(RIGHT(E244,13),1)={"A","D","E","F","G","I","L","N","P","R","S","T","V"})),"Ф",""),"")</f>
        <v/>
      </c>
    </row>
    <row r="245" spans="2:9" x14ac:dyDescent="0.3">
      <c r="D245" s="48" t="str">
        <f>CONCATENATE(УЧРЕЖДЕНИЯ!$A$9)</f>
        <v>музей</v>
      </c>
      <c r="E245" s="92" t="s">
        <v>329</v>
      </c>
      <c r="F245" s="95">
        <v>212</v>
      </c>
      <c r="G245" s="95">
        <v>112</v>
      </c>
      <c r="H245" s="17" t="s">
        <v>187</v>
      </c>
      <c r="I245" s="93" t="str">
        <f>IF(OR(F245=152,F245=162,F245=510),IF((OR(LEFT(RIGHT(E245,13),1)={"A","D","E","F","G","I","L","N","P","R","S","T","V"})),"Ф",""),"")</f>
        <v/>
      </c>
    </row>
    <row r="246" spans="2:9" x14ac:dyDescent="0.3">
      <c r="D246" s="48" t="str">
        <f>CONCATENATE(УЧРЕЖДЕНИЯ!$A$9)</f>
        <v>музей</v>
      </c>
      <c r="E246" s="92" t="s">
        <v>329</v>
      </c>
      <c r="F246" s="95">
        <v>226</v>
      </c>
      <c r="G246" s="95">
        <v>112</v>
      </c>
      <c r="H246" s="17" t="s">
        <v>187</v>
      </c>
      <c r="I246" s="93" t="str">
        <f>IF(OR(F246=152,F246=162,F246=510),IF((OR(LEFT(RIGHT(E246,13),1)={"A","D","E","F","G","I","L","N","P","R","S","T","V"})),"Ф",""),"")</f>
        <v/>
      </c>
    </row>
    <row r="247" spans="2:9" x14ac:dyDescent="0.3">
      <c r="D247" s="48" t="str">
        <f>CONCATENATE(УЧРЕЖДЕНИЯ!$A$9)</f>
        <v>музей</v>
      </c>
      <c r="E247" s="92" t="s">
        <v>329</v>
      </c>
      <c r="F247" s="95">
        <v>266</v>
      </c>
      <c r="G247" s="95">
        <v>112</v>
      </c>
      <c r="H247" s="17" t="s">
        <v>187</v>
      </c>
      <c r="I247" s="93" t="str">
        <f>IF(OR(F247=152,F247=162,F247=510),IF((OR(LEFT(RIGHT(E247,13),1)={"A","D","E","F","G","I","L","N","P","R","S","T","V"})),"Ф",""),"")</f>
        <v/>
      </c>
    </row>
    <row r="248" spans="2:9" x14ac:dyDescent="0.3">
      <c r="D248" s="48" t="str">
        <f>CONCATENATE(УЧРЕЖДЕНИЯ!$A$9)</f>
        <v>музей</v>
      </c>
      <c r="E248" s="92" t="s">
        <v>330</v>
      </c>
      <c r="F248" s="95">
        <v>213</v>
      </c>
      <c r="G248" s="95">
        <v>119</v>
      </c>
      <c r="H248" s="17" t="s">
        <v>187</v>
      </c>
      <c r="I248" s="93" t="str">
        <f>IF(OR(F248=152,F248=162,F248=510),IF((OR(LEFT(RIGHT(E248,13),1)={"A","D","E","F","G","I","L","N","P","R","S","T","V"})),"Ф",""),"")</f>
        <v/>
      </c>
    </row>
    <row r="249" spans="2:9" x14ac:dyDescent="0.3">
      <c r="D249" s="48" t="str">
        <f>CONCATENATE(УЧРЕЖДЕНИЯ!$A$9)</f>
        <v>музей</v>
      </c>
      <c r="E249" s="92" t="s">
        <v>331</v>
      </c>
      <c r="F249" s="95">
        <v>221</v>
      </c>
      <c r="G249" s="95">
        <v>244</v>
      </c>
      <c r="H249" s="17" t="s">
        <v>187</v>
      </c>
      <c r="I249" s="93" t="str">
        <f>IF(OR(F249=152,F249=162,F249=510),IF((OR(LEFT(RIGHT(E249,13),1)={"A","D","E","F","G","I","L","N","P","R","S","T","V"})),"Ф",""),"")</f>
        <v/>
      </c>
    </row>
    <row r="250" spans="2:9" x14ac:dyDescent="0.3">
      <c r="D250" s="48" t="str">
        <f>CONCATENATE(УЧРЕЖДЕНИЯ!$A$9)</f>
        <v>музей</v>
      </c>
      <c r="E250" s="92" t="s">
        <v>331</v>
      </c>
      <c r="F250" s="95">
        <v>222</v>
      </c>
      <c r="G250" s="95">
        <v>244</v>
      </c>
      <c r="H250" s="17" t="s">
        <v>187</v>
      </c>
      <c r="I250" s="93" t="str">
        <f>IF(OR(F250=152,F250=162,F250=510),IF((OR(LEFT(RIGHT(E250,13),1)={"A","D","E","F","G","I","L","N","P","R","S","T","V"})),"Ф",""),"")</f>
        <v/>
      </c>
    </row>
    <row r="251" spans="2:9" x14ac:dyDescent="0.3">
      <c r="D251" s="48" t="str">
        <f>CONCATENATE(УЧРЕЖДЕНИЯ!$A$9)</f>
        <v>музей</v>
      </c>
      <c r="E251" s="92" t="s">
        <v>332</v>
      </c>
      <c r="F251" s="95">
        <v>2233</v>
      </c>
      <c r="G251" s="95">
        <v>244</v>
      </c>
      <c r="H251" s="17" t="s">
        <v>187</v>
      </c>
      <c r="I251" s="93" t="str">
        <f>IF(OR(F251=152,F251=162,F251=510),IF((OR(LEFT(RIGHT(E251,13),1)={"A","D","E","F","G","I","L","N","P","R","S","T","V"})),"Ф",""),"")</f>
        <v/>
      </c>
    </row>
    <row r="252" spans="2:9" x14ac:dyDescent="0.3">
      <c r="D252" s="48" t="str">
        <f>CONCATENATE(УЧРЕЖДЕНИЯ!$A$9)</f>
        <v>музей</v>
      </c>
      <c r="E252" s="92" t="s">
        <v>331</v>
      </c>
      <c r="F252" s="95">
        <v>224</v>
      </c>
      <c r="G252" s="95">
        <v>244</v>
      </c>
      <c r="H252" s="17" t="s">
        <v>187</v>
      </c>
      <c r="I252" s="93" t="str">
        <f>IF(OR(F252=152,F252=162,F252=510),IF((OR(LEFT(RIGHT(E252,13),1)={"A","D","E","F","G","I","L","N","P","R","S","T","V"})),"Ф",""),"")</f>
        <v/>
      </c>
    </row>
    <row r="253" spans="2:9" x14ac:dyDescent="0.3">
      <c r="D253" s="48" t="str">
        <f>CONCATENATE(УЧРЕЖДЕНИЯ!$A$9)</f>
        <v>музей</v>
      </c>
      <c r="E253" s="92" t="s">
        <v>331</v>
      </c>
      <c r="F253" s="95">
        <v>225</v>
      </c>
      <c r="G253" s="95">
        <v>244</v>
      </c>
      <c r="H253" s="17" t="s">
        <v>187</v>
      </c>
      <c r="I253" s="93" t="str">
        <f>IF(OR(F253=152,F253=162,F253=510),IF((OR(LEFT(RIGHT(E253,13),1)={"A","D","E","F","G","I","L","N","P","R","S","T","V"})),"Ф",""),"")</f>
        <v/>
      </c>
    </row>
    <row r="254" spans="2:9" x14ac:dyDescent="0.3">
      <c r="D254" s="48" t="str">
        <f>CONCATENATE(УЧРЕЖДЕНИЯ!$A$9)</f>
        <v>музей</v>
      </c>
      <c r="E254" s="92" t="s">
        <v>331</v>
      </c>
      <c r="F254" s="95">
        <v>226</v>
      </c>
      <c r="G254" s="95">
        <v>244</v>
      </c>
      <c r="H254" s="17" t="s">
        <v>187</v>
      </c>
      <c r="I254" s="93" t="str">
        <f>IF(OR(F254=152,F254=162,F254=510),IF((OR(LEFT(RIGHT(E254,13),1)={"A","D","E","F","G","I","L","N","P","R","S","T","V"})),"Ф",""),"")</f>
        <v/>
      </c>
    </row>
    <row r="255" spans="2:9" x14ac:dyDescent="0.3">
      <c r="D255" s="48" t="str">
        <f>CONCATENATE(УЧРЕЖДЕНИЯ!$A$9)</f>
        <v>музей</v>
      </c>
      <c r="E255" s="92" t="s">
        <v>331</v>
      </c>
      <c r="F255" s="95">
        <v>296</v>
      </c>
      <c r="G255" s="95">
        <v>244</v>
      </c>
      <c r="H255" s="17" t="s">
        <v>187</v>
      </c>
      <c r="I255" s="93" t="str">
        <f>IF(OR(F255=152,F255=162,F255=510),IF((OR(LEFT(RIGHT(E255,13),1)={"A","D","E","F","G","I","L","N","P","R","S","T","V"})),"Ф",""),"")</f>
        <v/>
      </c>
    </row>
    <row r="256" spans="2:9" x14ac:dyDescent="0.3">
      <c r="D256" s="48" t="str">
        <f>CONCATENATE(УЧРЕЖДЕНИЯ!$A$9)</f>
        <v>музей</v>
      </c>
      <c r="E256" s="92" t="s">
        <v>331</v>
      </c>
      <c r="F256" s="95">
        <v>310</v>
      </c>
      <c r="G256" s="95">
        <v>244</v>
      </c>
      <c r="H256" s="17" t="s">
        <v>187</v>
      </c>
      <c r="I256" s="93" t="str">
        <f>IF(OR(F256=152,F256=162,F256=510),IF((OR(LEFT(RIGHT(E256,13),1)={"A","D","E","F","G","I","L","N","P","R","S","T","V"})),"Ф",""),"")</f>
        <v/>
      </c>
    </row>
    <row r="257" spans="4:9" x14ac:dyDescent="0.3">
      <c r="D257" s="48" t="str">
        <f>CONCATENATE(УЧРЕЖДЕНИЯ!$A$9)</f>
        <v>музей</v>
      </c>
      <c r="E257" s="92" t="s">
        <v>331</v>
      </c>
      <c r="F257" s="95">
        <v>344</v>
      </c>
      <c r="G257" s="95">
        <v>244</v>
      </c>
      <c r="H257" s="17" t="s">
        <v>187</v>
      </c>
      <c r="I257" s="93" t="str">
        <f>IF(OR(F257=152,F257=162,F257=510),IF((OR(LEFT(RIGHT(E257,13),1)={"A","D","E","F","G","I","L","N","P","R","S","T","V"})),"Ф",""),"")</f>
        <v/>
      </c>
    </row>
    <row r="258" spans="4:9" x14ac:dyDescent="0.3">
      <c r="D258" s="48" t="str">
        <f>CONCATENATE(УЧРЕЖДЕНИЯ!$A$9)</f>
        <v>музей</v>
      </c>
      <c r="E258" s="92" t="s">
        <v>331</v>
      </c>
      <c r="F258" s="95">
        <v>345</v>
      </c>
      <c r="G258" s="95">
        <v>244</v>
      </c>
      <c r="H258" s="17" t="s">
        <v>187</v>
      </c>
      <c r="I258" s="93" t="str">
        <f>IF(OR(F258=152,F258=162,F258=510),IF((OR(LEFT(RIGHT(E258,13),1)={"A","D","E","F","G","I","L","N","P","R","S","T","V"})),"Ф",""),"")</f>
        <v/>
      </c>
    </row>
    <row r="259" spans="4:9" x14ac:dyDescent="0.3">
      <c r="D259" s="48" t="str">
        <f>CONCATENATE(УЧРЕЖДЕНИЯ!$A$9)</f>
        <v>музей</v>
      </c>
      <c r="E259" s="92" t="s">
        <v>331</v>
      </c>
      <c r="F259" s="95">
        <v>346</v>
      </c>
      <c r="G259" s="95">
        <v>244</v>
      </c>
      <c r="H259" s="17" t="s">
        <v>187</v>
      </c>
      <c r="I259" s="93" t="str">
        <f>IF(OR(F259=152,F259=162,F259=510),IF((OR(LEFT(RIGHT(E259,13),1)={"A","D","E","F","G","I","L","N","P","R","S","T","V"})),"Ф",""),"")</f>
        <v/>
      </c>
    </row>
    <row r="260" spans="4:9" x14ac:dyDescent="0.3">
      <c r="D260" s="48" t="str">
        <f>CONCATENATE(УЧРЕЖДЕНИЯ!$A$9)</f>
        <v>музей</v>
      </c>
      <c r="E260" s="92" t="s">
        <v>331</v>
      </c>
      <c r="F260" s="95">
        <v>349</v>
      </c>
      <c r="G260" s="95">
        <v>244</v>
      </c>
      <c r="H260" s="17" t="s">
        <v>187</v>
      </c>
      <c r="I260" s="93" t="str">
        <f>IF(OR(F260=152,F260=162,F260=510),IF((OR(LEFT(RIGHT(E260,13),1)={"A","D","E","F","G","I","L","N","P","R","S","T","V"})),"Ф",""),"")</f>
        <v/>
      </c>
    </row>
    <row r="261" spans="4:9" x14ac:dyDescent="0.3">
      <c r="D261" s="48" t="str">
        <f>CONCATENATE(УЧРЕЖДЕНИЯ!$A$9)</f>
        <v>музей</v>
      </c>
      <c r="E261" s="92" t="s">
        <v>651</v>
      </c>
      <c r="F261" s="95">
        <v>2231</v>
      </c>
      <c r="G261" s="95">
        <v>247</v>
      </c>
      <c r="H261" s="17" t="s">
        <v>187</v>
      </c>
      <c r="I261" s="93" t="str">
        <f>IF(OR(F261=152,F261=162,F261=510),IF((OR(LEFT(RIGHT(E261,13),1)={"A","D","E","F","G","I","L","N","P","R","S","T","V"})),"Ф",""),"")</f>
        <v/>
      </c>
    </row>
    <row r="262" spans="4:9" x14ac:dyDescent="0.3">
      <c r="D262" s="48" t="str">
        <f>CONCATENATE(УЧРЕЖДЕНИЯ!$A$9)</f>
        <v>музей</v>
      </c>
      <c r="E262" s="92" t="s">
        <v>663</v>
      </c>
      <c r="F262" s="95">
        <v>2232</v>
      </c>
      <c r="G262" s="95">
        <v>247</v>
      </c>
      <c r="H262" s="17" t="s">
        <v>187</v>
      </c>
      <c r="I262" s="93" t="str">
        <f>IF(OR(F262=152,F262=162,F262=510),IF((OR(LEFT(RIGHT(E262,13),1)={"A","D","E","F","G","I","L","N","P","R","S","T","V"})),"Ф",""),"")</f>
        <v/>
      </c>
    </row>
    <row r="263" spans="4:9" x14ac:dyDescent="0.3">
      <c r="D263" s="48" t="str">
        <f>CONCATENATE(УЧРЕЖДЕНИЯ!$A$9)</f>
        <v>музей</v>
      </c>
      <c r="E263" s="92" t="s">
        <v>333</v>
      </c>
      <c r="F263" s="95">
        <v>262</v>
      </c>
      <c r="G263" s="95">
        <v>360</v>
      </c>
      <c r="H263" s="17" t="s">
        <v>187</v>
      </c>
      <c r="I263" s="93" t="str">
        <f>IF(OR(F263=152,F263=162,F263=510),IF((OR(LEFT(RIGHT(E263,13),1)={"A","D","E","F","G","I","L","N","P","R","S","T","V"})),"Ф",""),"")</f>
        <v/>
      </c>
    </row>
    <row r="264" spans="4:9" x14ac:dyDescent="0.3">
      <c r="D264" s="48" t="str">
        <f>CONCATENATE(УЧРЕЖДЕНИЯ!$A$9)</f>
        <v>музей</v>
      </c>
      <c r="E264" s="92" t="s">
        <v>326</v>
      </c>
      <c r="F264" s="95">
        <v>510</v>
      </c>
      <c r="G264" s="95">
        <v>510</v>
      </c>
      <c r="H264" s="17" t="s">
        <v>187</v>
      </c>
      <c r="I264" s="93" t="str">
        <f>IF(OR(F264=152,F264=162,F264=510),IF((OR(LEFT(RIGHT(E264,13),1)={"A","D","E","F","G","I","L","N","P","R","S","T","V"})),"Ф",""),"")</f>
        <v/>
      </c>
    </row>
    <row r="265" spans="4:9" x14ac:dyDescent="0.3">
      <c r="D265" s="48" t="str">
        <f>CONCATENATE(УЧРЕЖДЕНИЯ!$A$9)</f>
        <v>музей</v>
      </c>
      <c r="E265" s="92" t="s">
        <v>334</v>
      </c>
      <c r="F265" s="95">
        <v>291</v>
      </c>
      <c r="G265" s="95">
        <v>851</v>
      </c>
      <c r="H265" s="17" t="s">
        <v>187</v>
      </c>
      <c r="I265" s="93" t="str">
        <f>IF(OR(F265=152,F265=162,F265=510),IF((OR(LEFT(RIGHT(E265,13),1)={"A","D","E","F","G","I","L","N","P","R","S","T","V"})),"Ф",""),"")</f>
        <v/>
      </c>
    </row>
    <row r="266" spans="4:9" x14ac:dyDescent="0.3">
      <c r="D266" s="48" t="str">
        <f>CONCATENATE(УЧРЕЖДЕНИЯ!$A$9)</f>
        <v>музей</v>
      </c>
      <c r="E266" s="92" t="s">
        <v>336</v>
      </c>
      <c r="F266" s="95">
        <v>292</v>
      </c>
      <c r="G266" s="95">
        <v>853</v>
      </c>
      <c r="H266" s="17" t="s">
        <v>187</v>
      </c>
      <c r="I266" s="93" t="str">
        <f>IF(OR(F266=152,F266=162,F266=510),IF((OR(LEFT(RIGHT(E266,13),1)={"A","D","E","F","G","I","L","N","P","R","S","T","V"})),"Ф",""),"")</f>
        <v/>
      </c>
    </row>
    <row r="267" spans="4:9" x14ac:dyDescent="0.3">
      <c r="D267" s="48" t="str">
        <f>CONCATENATE(УЧРЕЖДЕНИЯ!$A$9)</f>
        <v>музей</v>
      </c>
      <c r="E267" s="92" t="s">
        <v>336</v>
      </c>
      <c r="F267" s="95">
        <v>293</v>
      </c>
      <c r="G267" s="95">
        <v>853</v>
      </c>
      <c r="H267" s="17" t="s">
        <v>187</v>
      </c>
      <c r="I267" s="93" t="str">
        <f>IF(OR(F267=152,F267=162,F267=510),IF((OR(LEFT(RIGHT(E267,13),1)={"A","D","E","F","G","I","L","N","P","R","S","T","V"})),"Ф",""),"")</f>
        <v/>
      </c>
    </row>
    <row r="268" spans="4:9" x14ac:dyDescent="0.3">
      <c r="D268" s="48" t="str">
        <f>CONCATENATE(УЧРЕЖДЕНИЯ!$A$9)</f>
        <v>музей</v>
      </c>
      <c r="E268" s="92" t="s">
        <v>340</v>
      </c>
      <c r="F268" s="93">
        <v>510</v>
      </c>
      <c r="G268" s="95">
        <v>510</v>
      </c>
      <c r="H268" s="17" t="s">
        <v>187</v>
      </c>
      <c r="I268" s="93" t="str">
        <f>IF(OR(F268=152,F268=162,F268=510),IF((OR(LEFT(RIGHT(E268,13),1)={"A","D","E","F","G","I","L","N","P","R","S","T","V"})),"Ф",""),"")</f>
        <v/>
      </c>
    </row>
    <row r="269" spans="4:9" x14ac:dyDescent="0.3">
      <c r="D269" s="48" t="str">
        <f>CONCATENATE(УЧРЕЖДЕНИЯ!$A$9)</f>
        <v>музей</v>
      </c>
      <c r="E269" s="92" t="s">
        <v>341</v>
      </c>
      <c r="F269" s="93">
        <v>6101</v>
      </c>
      <c r="G269" s="93">
        <v>610</v>
      </c>
      <c r="H269" s="17" t="s">
        <v>187</v>
      </c>
      <c r="I269" s="93" t="str">
        <f>IF(OR(F269=152,F269=162,F269=510),IF((OR(LEFT(RIGHT(E269,13),1)={"A","D","E","F","G","I","L","N","P","R","S","T","V"})),"Ф",""),"")</f>
        <v/>
      </c>
    </row>
    <row r="270" spans="4:9" x14ac:dyDescent="0.3">
      <c r="D270" s="48" t="str">
        <f>CONCATENATE(УЧРЕЖДЕНИЯ!$A$9)</f>
        <v>музей</v>
      </c>
      <c r="E270" s="92" t="s">
        <v>343</v>
      </c>
      <c r="F270" s="93">
        <v>155</v>
      </c>
      <c r="G270" s="93">
        <v>150</v>
      </c>
      <c r="H270" s="17" t="s">
        <v>187</v>
      </c>
      <c r="I270" s="93" t="str">
        <f>IF(OR(F270=152,F270=162,F270=510),IF((OR(LEFT(RIGHT(E270,13),1)={"A","D","E","F","G","I","L","N","P","R","S","T","V"})),"Ф",""),"")</f>
        <v/>
      </c>
    </row>
    <row r="271" spans="4:9" x14ac:dyDescent="0.3">
      <c r="D271" s="48" t="str">
        <f>CONCATENATE(УЧРЕЖДЕНИЯ!$A$9)</f>
        <v>музей</v>
      </c>
      <c r="E271" s="92" t="s">
        <v>344</v>
      </c>
      <c r="F271" s="93">
        <v>225</v>
      </c>
      <c r="G271" s="93">
        <v>244</v>
      </c>
      <c r="H271" s="17" t="s">
        <v>187</v>
      </c>
      <c r="I271" s="93" t="str">
        <f>IF(OR(F271=152,F271=162,F271=510),IF((OR(LEFT(RIGHT(E271,13),1)={"A","D","E","F","G","I","L","N","P","R","S","T","V"})),"Ф",""),"")</f>
        <v/>
      </c>
    </row>
    <row r="272" spans="4:9" x14ac:dyDescent="0.3">
      <c r="D272" s="48" t="str">
        <f>CONCATENATE(УЧРЕЖДЕНИЯ!$A$9)</f>
        <v>музей</v>
      </c>
      <c r="E272" s="92" t="s">
        <v>344</v>
      </c>
      <c r="F272" s="93">
        <v>226</v>
      </c>
      <c r="G272" s="93">
        <v>244</v>
      </c>
      <c r="H272" s="17" t="s">
        <v>187</v>
      </c>
      <c r="I272" s="93" t="str">
        <f>IF(OR(F272=152,F272=162,F272=510),IF((OR(LEFT(RIGHT(E272,13),1)={"A","D","E","F","G","I","L","N","P","R","S","T","V"})),"Ф",""),"")</f>
        <v/>
      </c>
    </row>
    <row r="273" spans="2:9" x14ac:dyDescent="0.3">
      <c r="D273" s="48" t="str">
        <f>CONCATENATE(УЧРЕЖДЕНИЯ!$A$9)</f>
        <v>музей</v>
      </c>
      <c r="E273" s="92" t="s">
        <v>344</v>
      </c>
      <c r="F273" s="93">
        <v>296</v>
      </c>
      <c r="G273" s="93">
        <v>244</v>
      </c>
      <c r="H273" s="17" t="s">
        <v>187</v>
      </c>
      <c r="I273" s="93" t="str">
        <f>IF(OR(F273=152,F273=162,F273=510),IF((OR(LEFT(RIGHT(E273,13),1)={"A","D","E","F","G","I","L","N","P","R","S","T","V"})),"Ф",""),"")</f>
        <v/>
      </c>
    </row>
    <row r="274" spans="2:9" x14ac:dyDescent="0.3">
      <c r="D274" s="48" t="str">
        <f>CONCATENATE(УЧРЕЖДЕНИЯ!$A$9)</f>
        <v>музей</v>
      </c>
      <c r="E274" s="92" t="s">
        <v>344</v>
      </c>
      <c r="F274" s="93">
        <v>310</v>
      </c>
      <c r="G274" s="93">
        <v>244</v>
      </c>
      <c r="H274" s="17" t="s">
        <v>187</v>
      </c>
      <c r="I274" s="93" t="str">
        <f>IF(OR(F274=152,F274=162,F274=510),IF((OR(LEFT(RIGHT(E274,13),1)={"A","D","E","F","G","I","L","N","P","R","S","T","V"})),"Ф",""),"")</f>
        <v/>
      </c>
    </row>
    <row r="275" spans="2:9" x14ac:dyDescent="0.3">
      <c r="D275" s="48" t="str">
        <f>CONCATENATE(УЧРЕЖДЕНИЯ!$A$9)</f>
        <v>музей</v>
      </c>
      <c r="E275" s="92" t="s">
        <v>344</v>
      </c>
      <c r="F275" s="93">
        <v>344</v>
      </c>
      <c r="G275" s="93">
        <v>244</v>
      </c>
      <c r="H275" s="17" t="s">
        <v>187</v>
      </c>
      <c r="I275" s="93" t="str">
        <f>IF(OR(F275=152,F275=162,F275=510),IF((OR(LEFT(RIGHT(E275,13),1)={"A","D","E","F","G","I","L","N","P","R","S","T","V"})),"Ф",""),"")</f>
        <v/>
      </c>
    </row>
    <row r="276" spans="2:9" x14ac:dyDescent="0.3">
      <c r="D276" s="48" t="str">
        <f>CONCATENATE(УЧРЕЖДЕНИЯ!$A$9)</f>
        <v>музей</v>
      </c>
      <c r="E276" s="92" t="s">
        <v>344</v>
      </c>
      <c r="F276" s="93">
        <v>346</v>
      </c>
      <c r="G276" s="93">
        <v>244</v>
      </c>
      <c r="H276" s="17" t="s">
        <v>187</v>
      </c>
      <c r="I276" s="93" t="str">
        <f>IF(OR(F276=152,F276=162,F276=510),IF((OR(LEFT(RIGHT(E276,13),1)={"A","D","E","F","G","I","L","N","P","R","S","T","V"})),"Ф",""),"")</f>
        <v/>
      </c>
    </row>
    <row r="277" spans="2:9" x14ac:dyDescent="0.3">
      <c r="D277" s="48" t="str">
        <f>CONCATENATE(УЧРЕЖДЕНИЯ!$A$9)</f>
        <v>музей</v>
      </c>
      <c r="E277" s="92" t="s">
        <v>342</v>
      </c>
      <c r="F277" s="93">
        <v>510</v>
      </c>
      <c r="G277" s="95">
        <v>510</v>
      </c>
      <c r="H277" s="17" t="s">
        <v>187</v>
      </c>
      <c r="I277" s="93" t="str">
        <f>IF(OR(F277=152,F277=162,F277=510),IF((OR(LEFT(RIGHT(E277,13),1)={"A","D","E","F","G","I","L","N","P","R","S","T","V"})),"Ф",""),"")</f>
        <v/>
      </c>
    </row>
    <row r="278" spans="2:9" x14ac:dyDescent="0.3">
      <c r="B278" s="48" t="s">
        <v>703</v>
      </c>
      <c r="C278" s="48" t="s">
        <v>133</v>
      </c>
      <c r="D278" s="48" t="str">
        <f>CONCATENATE(УЧРЕЖДЕНИЯ!$A$10)</f>
        <v>газета</v>
      </c>
      <c r="E278" s="92" t="s">
        <v>327</v>
      </c>
      <c r="F278" s="95">
        <v>131</v>
      </c>
      <c r="G278" s="95">
        <v>130</v>
      </c>
      <c r="H278" s="17" t="s">
        <v>189</v>
      </c>
      <c r="I278" s="93" t="str">
        <f>IF(OR(F278=152,F278=162,F278=510),IF((OR(LEFT(RIGHT(E278,13),1)={"A","D","E","F","G","I","L","N","P","R","S","T","V"})),"Ф",""),"")</f>
        <v/>
      </c>
    </row>
    <row r="279" spans="2:9" x14ac:dyDescent="0.3">
      <c r="D279" s="48" t="str">
        <f>CONCATENATE(УЧРЕЖДЕНИЯ!$A$10)</f>
        <v>газета</v>
      </c>
      <c r="E279" s="92" t="s">
        <v>328</v>
      </c>
      <c r="F279" s="95">
        <v>211</v>
      </c>
      <c r="G279" s="95">
        <v>111</v>
      </c>
      <c r="H279" s="17" t="s">
        <v>189</v>
      </c>
      <c r="I279" s="93" t="str">
        <f>IF(OR(F279=152,F279=162,F279=510),IF((OR(LEFT(RIGHT(E279,13),1)={"A","D","E","F","G","I","L","N","P","R","S","T","V"})),"Ф",""),"")</f>
        <v/>
      </c>
    </row>
    <row r="280" spans="2:9" x14ac:dyDescent="0.3">
      <c r="D280" s="48" t="str">
        <f>CONCATENATE(УЧРЕЖДЕНИЯ!$A$10)</f>
        <v>газета</v>
      </c>
      <c r="E280" s="92" t="s">
        <v>329</v>
      </c>
      <c r="F280" s="95">
        <v>212</v>
      </c>
      <c r="G280" s="95">
        <v>112</v>
      </c>
      <c r="H280" s="17" t="s">
        <v>189</v>
      </c>
      <c r="I280" s="93" t="str">
        <f>IF(OR(F280=152,F280=162,F280=510),IF((OR(LEFT(RIGHT(E280,13),1)={"A","D","E","F","G","I","L","N","P","R","S","T","V"})),"Ф",""),"")</f>
        <v/>
      </c>
    </row>
    <row r="281" spans="2:9" x14ac:dyDescent="0.3">
      <c r="D281" s="48" t="str">
        <f>CONCATENATE(УЧРЕЖДЕНИЯ!$A$10)</f>
        <v>газета</v>
      </c>
      <c r="E281" s="92" t="s">
        <v>330</v>
      </c>
      <c r="F281" s="95">
        <v>213</v>
      </c>
      <c r="G281" s="95">
        <v>119</v>
      </c>
      <c r="H281" s="17" t="s">
        <v>189</v>
      </c>
      <c r="I281" s="93" t="str">
        <f>IF(OR(F281=152,F281=162,F281=510),IF((OR(LEFT(RIGHT(E281,13),1)={"A","D","E","F","G","I","L","N","P","R","S","T","V"})),"Ф",""),"")</f>
        <v/>
      </c>
    </row>
    <row r="282" spans="2:9" x14ac:dyDescent="0.3">
      <c r="D282" s="48" t="str">
        <f>CONCATENATE(УЧРЕЖДЕНИЯ!$A$10)</f>
        <v>газета</v>
      </c>
      <c r="E282" s="92" t="s">
        <v>331</v>
      </c>
      <c r="F282" s="95">
        <v>221</v>
      </c>
      <c r="G282" s="95">
        <v>244</v>
      </c>
      <c r="H282" s="17" t="s">
        <v>189</v>
      </c>
      <c r="I282" s="93" t="str">
        <f>IF(OR(F282=152,F282=162,F282=510),IF((OR(LEFT(RIGHT(E282,13),1)={"A","D","E","F","G","I","L","N","P","R","S","T","V"})),"Ф",""),"")</f>
        <v/>
      </c>
    </row>
    <row r="283" spans="2:9" x14ac:dyDescent="0.3">
      <c r="D283" s="48" t="str">
        <f>CONCATENATE(УЧРЕЖДЕНИЯ!$A$10)</f>
        <v>газета</v>
      </c>
      <c r="E283" s="92" t="s">
        <v>331</v>
      </c>
      <c r="F283" s="95">
        <v>222</v>
      </c>
      <c r="G283" s="95">
        <v>244</v>
      </c>
      <c r="H283" s="17" t="s">
        <v>189</v>
      </c>
      <c r="I283" s="93" t="str">
        <f>IF(OR(F283=152,F283=162,F283=510),IF((OR(LEFT(RIGHT(E283,13),1)={"A","D","E","F","G","I","L","N","P","R","S","T","V"})),"Ф",""),"")</f>
        <v/>
      </c>
    </row>
    <row r="284" spans="2:9" x14ac:dyDescent="0.3">
      <c r="D284" s="48" t="str">
        <f>CONCATENATE(УЧРЕЖДЕНИЯ!$A$10)</f>
        <v>газета</v>
      </c>
      <c r="E284" s="92" t="s">
        <v>331</v>
      </c>
      <c r="F284" s="95">
        <v>224</v>
      </c>
      <c r="G284" s="95">
        <v>244</v>
      </c>
      <c r="H284" s="17" t="s">
        <v>189</v>
      </c>
      <c r="I284" s="93" t="str">
        <f>IF(OR(F284=152,F284=162,F284=510),IF((OR(LEFT(RIGHT(E284,13),1)={"A","D","E","F","G","I","L","N","P","R","S","T","V"})),"Ф",""),"")</f>
        <v/>
      </c>
    </row>
    <row r="285" spans="2:9" x14ac:dyDescent="0.3">
      <c r="D285" s="48" t="str">
        <f>CONCATENATE(УЧРЕЖДЕНИЯ!$A$10)</f>
        <v>газета</v>
      </c>
      <c r="E285" s="92" t="s">
        <v>331</v>
      </c>
      <c r="F285" s="95">
        <v>225</v>
      </c>
      <c r="G285" s="95">
        <v>244</v>
      </c>
      <c r="H285" s="17" t="s">
        <v>189</v>
      </c>
      <c r="I285" s="93" t="str">
        <f>IF(OR(F285=152,F285=162,F285=510),IF((OR(LEFT(RIGHT(E285,13),1)={"A","D","E","F","G","I","L","N","P","R","S","T","V"})),"Ф",""),"")</f>
        <v/>
      </c>
    </row>
    <row r="286" spans="2:9" x14ac:dyDescent="0.3">
      <c r="D286" s="48" t="str">
        <f>CONCATENATE(УЧРЕЖДЕНИЯ!$A$10)</f>
        <v>газета</v>
      </c>
      <c r="E286" s="92" t="s">
        <v>331</v>
      </c>
      <c r="F286" s="95">
        <v>226</v>
      </c>
      <c r="G286" s="95">
        <v>244</v>
      </c>
      <c r="H286" s="17" t="s">
        <v>189</v>
      </c>
      <c r="I286" s="93" t="str">
        <f>IF(OR(F286=152,F286=162,F286=510),IF((OR(LEFT(RIGHT(E286,13),1)={"A","D","E","F","G","I","L","N","P","R","S","T","V"})),"Ф",""),"")</f>
        <v/>
      </c>
    </row>
    <row r="287" spans="2:9" x14ac:dyDescent="0.3">
      <c r="D287" s="48" t="str">
        <f>CONCATENATE(УЧРЕЖДЕНИЯ!$A$10)</f>
        <v>газета</v>
      </c>
      <c r="E287" s="92" t="s">
        <v>331</v>
      </c>
      <c r="F287" s="95">
        <v>296</v>
      </c>
      <c r="G287" s="95">
        <v>244</v>
      </c>
      <c r="H287" s="17" t="s">
        <v>189</v>
      </c>
      <c r="I287" s="93" t="str">
        <f>IF(OR(F287=152,F287=162,F287=510),IF((OR(LEFT(RIGHT(E287,13),1)={"A","D","E","F","G","I","L","N","P","R","S","T","V"})),"Ф",""),"")</f>
        <v/>
      </c>
    </row>
    <row r="288" spans="2:9" x14ac:dyDescent="0.3">
      <c r="D288" s="48" t="str">
        <f>CONCATENATE(УЧРЕЖДЕНИЯ!$A$10)</f>
        <v>газета</v>
      </c>
      <c r="E288" s="92" t="s">
        <v>331</v>
      </c>
      <c r="F288" s="95">
        <v>310</v>
      </c>
      <c r="G288" s="95">
        <v>244</v>
      </c>
      <c r="H288" s="17" t="s">
        <v>189</v>
      </c>
      <c r="I288" s="93" t="str">
        <f>IF(OR(F288=152,F288=162,F288=510),IF((OR(LEFT(RIGHT(E288,13),1)={"A","D","E","F","G","I","L","N","P","R","S","T","V"})),"Ф",""),"")</f>
        <v/>
      </c>
    </row>
    <row r="289" spans="4:9" x14ac:dyDescent="0.3">
      <c r="D289" s="48" t="str">
        <f>CONCATENATE(УЧРЕЖДЕНИЯ!$A$10)</f>
        <v>газета</v>
      </c>
      <c r="E289" s="92" t="s">
        <v>332</v>
      </c>
      <c r="F289" s="95">
        <v>2233</v>
      </c>
      <c r="G289" s="95">
        <v>244</v>
      </c>
      <c r="H289" s="17" t="s">
        <v>189</v>
      </c>
      <c r="I289" s="93" t="str">
        <f>IF(OR(F289=152,F289=162,F289=510),IF((OR(LEFT(RIGHT(E289,13),1)={"A","D","E","F","G","I","L","N","P","R","S","T","V"})),"Ф",""),"")</f>
        <v/>
      </c>
    </row>
    <row r="290" spans="4:9" x14ac:dyDescent="0.3">
      <c r="D290" s="48" t="str">
        <f>CONCATENATE(УЧРЕЖДЕНИЯ!$A$10)</f>
        <v>газета</v>
      </c>
      <c r="E290" s="92" t="s">
        <v>663</v>
      </c>
      <c r="F290" s="95">
        <v>2232</v>
      </c>
      <c r="G290" s="95">
        <v>247</v>
      </c>
      <c r="H290" s="17" t="s">
        <v>189</v>
      </c>
      <c r="I290" s="93" t="str">
        <f>IF(OR(F290=152,F290=162,F290=510),IF((OR(LEFT(RIGHT(E290,13),1)={"A","D","E","F","G","I","L","N","P","R","S","T","V"})),"Ф",""),"")</f>
        <v/>
      </c>
    </row>
    <row r="291" spans="4:9" x14ac:dyDescent="0.3">
      <c r="D291" s="48" t="str">
        <f>CONCATENATE(УЧРЕЖДЕНИЯ!$A$10)</f>
        <v>газета</v>
      </c>
      <c r="E291" s="92" t="s">
        <v>651</v>
      </c>
      <c r="F291" s="95">
        <v>2231</v>
      </c>
      <c r="G291" s="95">
        <v>247</v>
      </c>
      <c r="H291" s="17" t="s">
        <v>189</v>
      </c>
      <c r="I291" s="93" t="str">
        <f>IF(OR(F291=152,F291=162,F291=510),IF((OR(LEFT(RIGHT(E291,13),1)={"A","D","E","F","G","I","L","N","P","R","S","T","V"})),"Ф",""),"")</f>
        <v/>
      </c>
    </row>
    <row r="292" spans="4:9" x14ac:dyDescent="0.3">
      <c r="D292" s="48" t="str">
        <f>CONCATENATE(УЧРЕЖДЕНИЯ!$A$10)</f>
        <v>газета</v>
      </c>
      <c r="E292" s="92" t="s">
        <v>333</v>
      </c>
      <c r="F292" s="95">
        <v>262</v>
      </c>
      <c r="G292" s="95">
        <v>360</v>
      </c>
      <c r="H292" s="17" t="s">
        <v>189</v>
      </c>
      <c r="I292" s="93" t="str">
        <f>IF(OR(F292=152,F292=162,F292=510),IF((OR(LEFT(RIGHT(E292,13),1)={"A","D","E","F","G","I","L","N","P","R","S","T","V"})),"Ф",""),"")</f>
        <v/>
      </c>
    </row>
    <row r="293" spans="4:9" x14ac:dyDescent="0.3">
      <c r="D293" s="48" t="str">
        <f>CONCATENATE(УЧРЕЖДЕНИЯ!$A$10)</f>
        <v>газета</v>
      </c>
      <c r="E293" s="92" t="s">
        <v>326</v>
      </c>
      <c r="F293" s="95">
        <v>510</v>
      </c>
      <c r="G293" s="95">
        <v>510</v>
      </c>
      <c r="H293" s="17" t="s">
        <v>189</v>
      </c>
      <c r="I293" s="93" t="str">
        <f>IF(OR(F293=152,F293=162,F293=510),IF((OR(LEFT(RIGHT(E293,13),1)={"A","D","E","F","G","I","L","N","P","R","S","T","V"})),"Ф",""),"")</f>
        <v/>
      </c>
    </row>
    <row r="294" spans="4:9" x14ac:dyDescent="0.3">
      <c r="D294" s="48" t="str">
        <f>CONCATENATE(УЧРЕЖДЕНИЯ!$A$10)</f>
        <v>газета</v>
      </c>
      <c r="E294" s="92" t="s">
        <v>334</v>
      </c>
      <c r="F294" s="95">
        <v>291</v>
      </c>
      <c r="G294" s="95">
        <v>851</v>
      </c>
      <c r="H294" s="17" t="s">
        <v>189</v>
      </c>
      <c r="I294" s="93" t="str">
        <f>IF(OR(F294=152,F294=162,F294=510),IF((OR(LEFT(RIGHT(E294,13),1)={"A","D","E","F","G","I","L","N","P","R","S","T","V"})),"Ф",""),"")</f>
        <v/>
      </c>
    </row>
    <row r="295" spans="4:9" x14ac:dyDescent="0.3">
      <c r="D295" s="48" t="str">
        <f>CONCATENATE(УЧРЕЖДЕНИЯ!$A$10)</f>
        <v>газета</v>
      </c>
      <c r="E295" s="92" t="s">
        <v>335</v>
      </c>
      <c r="F295" s="95">
        <v>291</v>
      </c>
      <c r="G295" s="95">
        <v>852</v>
      </c>
      <c r="H295" s="17" t="s">
        <v>189</v>
      </c>
      <c r="I295" s="93" t="str">
        <f>IF(OR(F295=152,F295=162,F295=510),IF((OR(LEFT(RIGHT(E295,13),1)={"A","D","E","F","G","I","L","N","P","R","S","T","V"})),"Ф",""),"")</f>
        <v/>
      </c>
    </row>
    <row r="296" spans="4:9" x14ac:dyDescent="0.3">
      <c r="D296" s="48" t="str">
        <f>CONCATENATE(УЧРЕЖДЕНИЯ!$A$10)</f>
        <v>газета</v>
      </c>
      <c r="E296" s="92" t="s">
        <v>336</v>
      </c>
      <c r="F296" s="95">
        <v>291</v>
      </c>
      <c r="G296" s="95">
        <v>853</v>
      </c>
      <c r="H296" s="17" t="s">
        <v>189</v>
      </c>
      <c r="I296" s="93" t="str">
        <f>IF(OR(F296=152,F296=162,F296=510),IF((OR(LEFT(RIGHT(E296,13),1)={"A","D","E","F","G","I","L","N","P","R","S","T","V"})),"Ф",""),"")</f>
        <v/>
      </c>
    </row>
    <row r="297" spans="4:9" x14ac:dyDescent="0.3">
      <c r="D297" s="48" t="str">
        <f>CONCATENATE(УЧРЕЖДЕНИЯ!$A$10)</f>
        <v>газета</v>
      </c>
      <c r="E297" s="92" t="s">
        <v>336</v>
      </c>
      <c r="F297" s="95">
        <v>292</v>
      </c>
      <c r="G297" s="95">
        <v>853</v>
      </c>
      <c r="H297" s="17" t="s">
        <v>189</v>
      </c>
      <c r="I297" s="93" t="str">
        <f>IF(OR(F297=152,F297=162,F297=510),IF((OR(LEFT(RIGHT(E297,13),1)={"A","D","E","F","G","I","L","N","P","R","S","T","V"})),"Ф",""),"")</f>
        <v/>
      </c>
    </row>
    <row r="298" spans="4:9" x14ac:dyDescent="0.3">
      <c r="D298" s="48" t="str">
        <f>CONCATENATE(УЧРЕЖДЕНИЯ!$A$10)</f>
        <v>газета</v>
      </c>
      <c r="E298" s="92" t="s">
        <v>340</v>
      </c>
      <c r="F298" s="93">
        <v>510</v>
      </c>
      <c r="G298" s="95">
        <v>510</v>
      </c>
      <c r="H298" s="17" t="s">
        <v>189</v>
      </c>
      <c r="I298" s="93" t="str">
        <f>IF(OR(F298=152,F298=162,F298=510),IF((OR(LEFT(RIGHT(E298,13),1)={"A","D","E","F","G","I","L","N","P","R","S","T","V"})),"Ф",""),"")</f>
        <v/>
      </c>
    </row>
    <row r="299" spans="4:9" x14ac:dyDescent="0.3">
      <c r="D299" s="48" t="str">
        <f>CONCATENATE(УЧРЕЖДЕНИЯ!$A$10)</f>
        <v>газета</v>
      </c>
      <c r="E299" s="92" t="s">
        <v>341</v>
      </c>
      <c r="F299" s="93">
        <v>6101</v>
      </c>
      <c r="G299" s="93">
        <v>610</v>
      </c>
      <c r="H299" s="17" t="s">
        <v>189</v>
      </c>
      <c r="I299" s="93" t="str">
        <f>IF(OR(F299=152,F299=162,F299=510),IF((OR(LEFT(RIGHT(E299,13),1)={"A","D","E","F","G","I","L","N","P","R","S","T","V"})),"Ф",""),"")</f>
        <v/>
      </c>
    </row>
    <row r="300" spans="4:9" x14ac:dyDescent="0.3">
      <c r="D300" s="48" t="str">
        <f>CONCATENATE(УЧРЕЖДЕНИЯ!$A$10)</f>
        <v>газета</v>
      </c>
      <c r="E300" s="92" t="s">
        <v>343</v>
      </c>
      <c r="F300" s="93">
        <v>155</v>
      </c>
      <c r="G300" s="93">
        <v>150</v>
      </c>
      <c r="H300" s="17" t="s">
        <v>189</v>
      </c>
      <c r="I300" s="93" t="str">
        <f>IF(OR(F300=152,F300=162,F300=510),IF((OR(LEFT(RIGHT(E300,13),1)={"A","D","E","F","G","I","L","N","P","R","S","T","V"})),"Ф",""),"")</f>
        <v/>
      </c>
    </row>
    <row r="301" spans="4:9" x14ac:dyDescent="0.3">
      <c r="D301" s="48" t="str">
        <f>CONCATENATE(УЧРЕЖДЕНИЯ!$A$10)</f>
        <v>газета</v>
      </c>
      <c r="E301" s="92" t="s">
        <v>344</v>
      </c>
      <c r="F301" s="93">
        <v>225</v>
      </c>
      <c r="G301" s="93">
        <v>244</v>
      </c>
      <c r="H301" s="17" t="s">
        <v>189</v>
      </c>
      <c r="I301" s="93" t="str">
        <f>IF(OR(F301=152,F301=162,F301=510),IF((OR(LEFT(RIGHT(E301,13),1)={"A","D","E","F","G","I","L","N","P","R","S","T","V"})),"Ф",""),"")</f>
        <v/>
      </c>
    </row>
    <row r="302" spans="4:9" x14ac:dyDescent="0.3">
      <c r="D302" s="48" t="str">
        <f>CONCATENATE(УЧРЕЖДЕНИЯ!$A$10)</f>
        <v>газета</v>
      </c>
      <c r="E302" s="92" t="s">
        <v>344</v>
      </c>
      <c r="F302" s="93">
        <v>226</v>
      </c>
      <c r="G302" s="93">
        <v>244</v>
      </c>
      <c r="H302" s="17" t="s">
        <v>189</v>
      </c>
      <c r="I302" s="93" t="str">
        <f>IF(OR(F302=152,F302=162,F302=510),IF((OR(LEFT(RIGHT(E302,13),1)={"A","D","E","F","G","I","L","N","P","R","S","T","V"})),"Ф",""),"")</f>
        <v/>
      </c>
    </row>
    <row r="303" spans="4:9" x14ac:dyDescent="0.3">
      <c r="D303" s="48" t="str">
        <f>CONCATENATE(УЧРЕЖДЕНИЯ!$A$10)</f>
        <v>газета</v>
      </c>
      <c r="E303" s="92" t="s">
        <v>344</v>
      </c>
      <c r="F303" s="93">
        <v>310</v>
      </c>
      <c r="G303" s="93">
        <v>244</v>
      </c>
      <c r="H303" s="17" t="s">
        <v>189</v>
      </c>
      <c r="I303" s="93" t="str">
        <f>IF(OR(F303=152,F303=162,F303=510),IF((OR(LEFT(RIGHT(E303,13),1)={"A","D","E","F","G","I","L","N","P","R","S","T","V"})),"Ф",""),"")</f>
        <v/>
      </c>
    </row>
    <row r="304" spans="4:9" x14ac:dyDescent="0.3">
      <c r="D304" s="48" t="str">
        <f>CONCATENATE(УЧРЕЖДЕНИЯ!$A$10)</f>
        <v>газета</v>
      </c>
      <c r="E304" s="92" t="s">
        <v>342</v>
      </c>
      <c r="F304" s="93">
        <v>510</v>
      </c>
      <c r="G304" s="95">
        <v>510</v>
      </c>
      <c r="H304" s="17" t="s">
        <v>189</v>
      </c>
      <c r="I304" s="93" t="str">
        <f>IF(OR(F304=152,F304=162,F304=510),IF((OR(LEFT(RIGHT(E304,13),1)={"A","D","E","F","G","I","L","N","P","R","S","T","V"})),"Ф",""),"")</f>
        <v/>
      </c>
    </row>
    <row r="305" spans="2:9" x14ac:dyDescent="0.3">
      <c r="B305" s="48" t="s">
        <v>703</v>
      </c>
      <c r="C305" s="48" t="s">
        <v>194</v>
      </c>
      <c r="D305" s="48" t="str">
        <f>CONCATENATE(УЧРЕЖДЕНИЯ!$A$11)</f>
        <v>культура</v>
      </c>
      <c r="E305" s="92" t="s">
        <v>348</v>
      </c>
      <c r="F305" s="93">
        <v>121</v>
      </c>
      <c r="G305" s="93">
        <v>120</v>
      </c>
      <c r="H305" s="17" t="s">
        <v>187</v>
      </c>
      <c r="I305" s="93" t="str">
        <f>IF(OR(F305=152,F305=162,F305=510),IF((OR(LEFT(RIGHT(E305,13),1)={"A","D","E","F","G","I","L","N","P","R","S","T","V"})),"Ф",""),"")</f>
        <v/>
      </c>
    </row>
    <row r="306" spans="2:9" x14ac:dyDescent="0.3">
      <c r="D306" s="48" t="str">
        <f>CONCATENATE(УЧРЕЖДЕНИЯ!$A$11)</f>
        <v>культура</v>
      </c>
      <c r="E306" s="92" t="s">
        <v>554</v>
      </c>
      <c r="F306" s="93">
        <v>189</v>
      </c>
      <c r="G306" s="93">
        <v>180</v>
      </c>
      <c r="H306" s="17" t="s">
        <v>187</v>
      </c>
      <c r="I306" s="93" t="str">
        <f>IF(OR(F306=152,F306=162,F306=510),IF((OR(LEFT(RIGHT(E306,13),1)={"A","D","E","F","G","I","L","N","P","R","S","T","V"})),"Ф",""),"")</f>
        <v/>
      </c>
    </row>
    <row r="307" spans="2:9" x14ac:dyDescent="0.3">
      <c r="D307" s="48" t="str">
        <f>CONCATENATE(УЧРЕЖДЕНИЯ!$A$11)</f>
        <v>культура</v>
      </c>
      <c r="E307" s="92" t="s">
        <v>349</v>
      </c>
      <c r="F307" s="95">
        <v>221</v>
      </c>
      <c r="G307" s="95">
        <v>244</v>
      </c>
      <c r="H307" s="17" t="s">
        <v>187</v>
      </c>
      <c r="I307" s="93" t="str">
        <f>IF(OR(F307=152,F307=162,F307=510),IF((OR(LEFT(RIGHT(E307,13),1)={"A","D","E","F","G","I","L","N","P","R","S","T","V"})),"Ф",""),"")</f>
        <v/>
      </c>
    </row>
    <row r="308" spans="2:9" x14ac:dyDescent="0.3">
      <c r="D308" s="48" t="str">
        <f>CONCATENATE(УЧРЕЖДЕНИЯ!$A$11)</f>
        <v>культура</v>
      </c>
      <c r="E308" s="92" t="s">
        <v>349</v>
      </c>
      <c r="F308" s="95">
        <v>225</v>
      </c>
      <c r="G308" s="95">
        <v>244</v>
      </c>
      <c r="H308" s="17" t="s">
        <v>187</v>
      </c>
      <c r="I308" s="93" t="str">
        <f>IF(OR(F308=152,F308=162,F308=510),IF((OR(LEFT(RIGHT(E308,13),1)={"A","D","E","F","G","I","L","N","P","R","S","T","V"})),"Ф",""),"")</f>
        <v/>
      </c>
    </row>
    <row r="309" spans="2:9" x14ac:dyDescent="0.3">
      <c r="D309" s="48" t="str">
        <f>CONCATENATE(УЧРЕЖДЕНИЯ!$A$11)</f>
        <v>культура</v>
      </c>
      <c r="E309" s="92" t="s">
        <v>349</v>
      </c>
      <c r="F309" s="95">
        <v>226</v>
      </c>
      <c r="G309" s="95">
        <v>244</v>
      </c>
      <c r="H309" s="17" t="s">
        <v>187</v>
      </c>
      <c r="I309" s="93" t="str">
        <f>IF(OR(F309=152,F309=162,F309=510),IF((OR(LEFT(RIGHT(E309,13),1)={"A","D","E","F","G","I","L","N","P","R","S","T","V"})),"Ф",""),"")</f>
        <v/>
      </c>
    </row>
    <row r="310" spans="2:9" x14ac:dyDescent="0.3">
      <c r="D310" s="48" t="str">
        <f>CONCATENATE(УЧРЕЖДЕНИЯ!$A$11)</f>
        <v>культура</v>
      </c>
      <c r="E310" s="92" t="s">
        <v>349</v>
      </c>
      <c r="F310" s="95">
        <v>296</v>
      </c>
      <c r="G310" s="95">
        <v>244</v>
      </c>
      <c r="H310" s="17" t="s">
        <v>187</v>
      </c>
      <c r="I310" s="93" t="str">
        <f>IF(OR(F310=152,F310=162,F310=510),IF((OR(LEFT(RIGHT(E310,13),1)={"A","D","E","F","G","I","L","N","P","R","S","T","V"})),"Ф",""),"")</f>
        <v/>
      </c>
    </row>
    <row r="311" spans="2:9" x14ac:dyDescent="0.3">
      <c r="D311" s="48" t="str">
        <f>CONCATENATE(УЧРЕЖДЕНИЯ!$A$11)</f>
        <v>культура</v>
      </c>
      <c r="E311" s="92" t="s">
        <v>349</v>
      </c>
      <c r="F311" s="95">
        <v>310</v>
      </c>
      <c r="G311" s="95">
        <v>244</v>
      </c>
      <c r="H311" s="17" t="s">
        <v>187</v>
      </c>
      <c r="I311" s="93" t="str">
        <f>IF(OR(F311=152,F311=162,F311=510),IF((OR(LEFT(RIGHT(E311,13),1)={"A","D","E","F","G","I","L","N","P","R","S","T","V"})),"Ф",""),"")</f>
        <v/>
      </c>
    </row>
    <row r="312" spans="2:9" x14ac:dyDescent="0.3">
      <c r="D312" s="48" t="str">
        <f>CONCATENATE(УЧРЕЖДЕНИЯ!$A$11)</f>
        <v>культура</v>
      </c>
      <c r="E312" s="92" t="s">
        <v>349</v>
      </c>
      <c r="F312" s="95">
        <v>344</v>
      </c>
      <c r="G312" s="95">
        <v>244</v>
      </c>
      <c r="H312" s="17" t="s">
        <v>187</v>
      </c>
      <c r="I312" s="93" t="str">
        <f>IF(OR(F312=152,F312=162,F312=510),IF((OR(LEFT(RIGHT(E312,13),1)={"A","D","E","F","G","I","L","N","P","R","S","T","V"})),"Ф",""),"")</f>
        <v/>
      </c>
    </row>
    <row r="313" spans="2:9" x14ac:dyDescent="0.3">
      <c r="D313" s="48" t="str">
        <f>CONCATENATE(УЧРЕЖДЕНИЯ!$A$11)</f>
        <v>культура</v>
      </c>
      <c r="E313" s="92" t="s">
        <v>349</v>
      </c>
      <c r="F313" s="95">
        <v>345</v>
      </c>
      <c r="G313" s="95">
        <v>244</v>
      </c>
      <c r="H313" s="17" t="s">
        <v>187</v>
      </c>
      <c r="I313" s="93" t="str">
        <f>IF(OR(F313=152,F313=162,F313=510),IF((OR(LEFT(RIGHT(E313,13),1)={"A","D","E","F","G","I","L","N","P","R","S","T","V"})),"Ф",""),"")</f>
        <v/>
      </c>
    </row>
    <row r="314" spans="2:9" x14ac:dyDescent="0.3">
      <c r="D314" s="48" t="str">
        <f>CONCATENATE(УЧРЕЖДЕНИЯ!$A$11)</f>
        <v>культура</v>
      </c>
      <c r="E314" s="92" t="s">
        <v>349</v>
      </c>
      <c r="F314" s="95">
        <v>346</v>
      </c>
      <c r="G314" s="95">
        <v>244</v>
      </c>
      <c r="H314" s="17" t="s">
        <v>187</v>
      </c>
      <c r="I314" s="93" t="str">
        <f>IF(OR(F314=152,F314=162,F314=510),IF((OR(LEFT(RIGHT(E314,13),1)={"A","D","E","F","G","I","L","N","P","R","S","T","V"})),"Ф",""),"")</f>
        <v/>
      </c>
    </row>
    <row r="315" spans="2:9" x14ac:dyDescent="0.3">
      <c r="D315" s="48" t="str">
        <f>CONCATENATE(УЧРЕЖДЕНИЯ!$A$11)</f>
        <v>культура</v>
      </c>
      <c r="E315" s="92" t="s">
        <v>664</v>
      </c>
      <c r="F315" s="95">
        <v>2232</v>
      </c>
      <c r="G315" s="95">
        <v>247</v>
      </c>
      <c r="H315" s="17" t="s">
        <v>187</v>
      </c>
      <c r="I315" s="93" t="str">
        <f>IF(OR(F315=152,F315=162,F315=510),IF((OR(LEFT(RIGHT(E315,13),1)={"A","D","E","F","G","I","L","N","P","R","S","T","V"})),"Ф",""),"")</f>
        <v/>
      </c>
    </row>
    <row r="316" spans="2:9" x14ac:dyDescent="0.3">
      <c r="D316" s="48" t="str">
        <f>CONCATENATE(УЧРЕЖДЕНИЯ!$A$11)</f>
        <v>культура</v>
      </c>
      <c r="E316" s="92" t="s">
        <v>652</v>
      </c>
      <c r="F316" s="95">
        <v>2231</v>
      </c>
      <c r="G316" s="95">
        <v>247</v>
      </c>
      <c r="H316" s="17" t="s">
        <v>187</v>
      </c>
      <c r="I316" s="93" t="str">
        <f>IF(OR(F316=152,F316=162,F316=510),IF((OR(LEFT(RIGHT(E316,13),1)={"A","D","E","F","G","I","L","N","P","R","S","T","V"})),"Ф",""),"")</f>
        <v/>
      </c>
    </row>
    <row r="317" spans="2:9" x14ac:dyDescent="0.3">
      <c r="D317" s="48" t="str">
        <f>CONCATENATE(УЧРЕЖДЕНИЯ!$A$11)</f>
        <v>культура</v>
      </c>
      <c r="E317" s="92" t="s">
        <v>347</v>
      </c>
      <c r="F317" s="93">
        <v>510</v>
      </c>
      <c r="G317" s="93">
        <v>510</v>
      </c>
      <c r="H317" s="17" t="s">
        <v>187</v>
      </c>
      <c r="I317" s="93" t="str">
        <f>IF(OR(F317=152,F317=162,F317=510),IF((OR(LEFT(RIGHT(E317,13),1)={"A","D","E","F","G","I","L","N","P","R","S","T","V"})),"Ф",""),"")</f>
        <v/>
      </c>
    </row>
    <row r="318" spans="2:9" x14ac:dyDescent="0.3">
      <c r="D318" s="48" t="str">
        <f>CONCATENATE(УЧРЕЖДЕНИЯ!$A$11)</f>
        <v>культура</v>
      </c>
      <c r="E318" s="92" t="s">
        <v>555</v>
      </c>
      <c r="F318" s="95">
        <v>292</v>
      </c>
      <c r="G318" s="95">
        <v>853</v>
      </c>
      <c r="H318" s="17" t="s">
        <v>187</v>
      </c>
      <c r="I318" s="93" t="str">
        <f>IF(OR(F318=152,F318=162,F318=510),IF((OR(LEFT(RIGHT(E318,13),1)={"A","D","E","F","G","I","L","N","P","R","S","T","V"})),"Ф",""),"")</f>
        <v/>
      </c>
    </row>
    <row r="319" spans="2:9" x14ac:dyDescent="0.3">
      <c r="D319" s="48" t="str">
        <f>CONCATENATE(УЧРЕЖДЕНИЯ!$A$11)</f>
        <v>культура</v>
      </c>
      <c r="E319" s="92" t="s">
        <v>555</v>
      </c>
      <c r="F319" s="95">
        <v>295</v>
      </c>
      <c r="G319" s="95">
        <v>853</v>
      </c>
      <c r="H319" s="17" t="s">
        <v>187</v>
      </c>
      <c r="I319" s="93" t="str">
        <f>IF(OR(F319=152,F319=162,F319=510),IF((OR(LEFT(RIGHT(E319,13),1)={"A","D","E","F","G","I","L","N","P","R","S","T","V"})),"Ф",""),"")</f>
        <v/>
      </c>
    </row>
    <row r="320" spans="2:9" x14ac:dyDescent="0.3">
      <c r="D320" s="48" t="str">
        <f>CONCATENATE(УЧРЕЖДЕНИЯ!$A$11)</f>
        <v>культура</v>
      </c>
      <c r="E320" s="92" t="s">
        <v>327</v>
      </c>
      <c r="F320" s="95">
        <v>131</v>
      </c>
      <c r="G320" s="95">
        <v>130</v>
      </c>
      <c r="H320" s="17" t="s">
        <v>187</v>
      </c>
      <c r="I320" s="93" t="str">
        <f>IF(OR(F320=152,F320=162,F320=510),IF((OR(LEFT(RIGHT(E320,13),1)={"A","D","E","F","G","I","L","N","P","R","S","T","V"})),"Ф",""),"")</f>
        <v/>
      </c>
    </row>
    <row r="321" spans="4:9" x14ac:dyDescent="0.3">
      <c r="D321" s="48" t="str">
        <f>CONCATENATE(УЧРЕЖДЕНИЯ!$A$11)</f>
        <v>культура</v>
      </c>
      <c r="E321" s="92" t="s">
        <v>328</v>
      </c>
      <c r="F321" s="95">
        <v>211</v>
      </c>
      <c r="G321" s="95">
        <v>111</v>
      </c>
      <c r="H321" s="17" t="s">
        <v>187</v>
      </c>
      <c r="I321" s="93" t="str">
        <f>IF(OR(F321=152,F321=162,F321=510),IF((OR(LEFT(RIGHT(E321,13),1)={"A","D","E","F","G","I","L","N","P","R","S","T","V"})),"Ф",""),"")</f>
        <v/>
      </c>
    </row>
    <row r="322" spans="4:9" x14ac:dyDescent="0.3">
      <c r="D322" s="48" t="str">
        <f>CONCATENATE(УЧРЕЖДЕНИЯ!$A$11)</f>
        <v>культура</v>
      </c>
      <c r="E322" s="92" t="s">
        <v>328</v>
      </c>
      <c r="F322" s="95">
        <v>266</v>
      </c>
      <c r="G322" s="95">
        <v>111</v>
      </c>
      <c r="H322" s="17" t="s">
        <v>187</v>
      </c>
      <c r="I322" s="93" t="str">
        <f>IF(OR(F322=152,F322=162,F322=510),IF((OR(LEFT(RIGHT(E322,13),1)={"A","D","E","F","G","I","L","N","P","R","S","T","V"})),"Ф",""),"")</f>
        <v/>
      </c>
    </row>
    <row r="323" spans="4:9" x14ac:dyDescent="0.3">
      <c r="D323" s="48" t="str">
        <f>CONCATENATE(УЧРЕЖДЕНИЯ!$A$11)</f>
        <v>культура</v>
      </c>
      <c r="E323" s="92" t="s">
        <v>329</v>
      </c>
      <c r="F323" s="95">
        <v>212</v>
      </c>
      <c r="G323" s="95">
        <v>112</v>
      </c>
      <c r="H323" s="17" t="s">
        <v>187</v>
      </c>
      <c r="I323" s="93" t="str">
        <f>IF(OR(F323=152,F323=162,F323=510),IF((OR(LEFT(RIGHT(E323,13),1)={"A","D","E","F","G","I","L","N","P","R","S","T","V"})),"Ф",""),"")</f>
        <v/>
      </c>
    </row>
    <row r="324" spans="4:9" x14ac:dyDescent="0.3">
      <c r="D324" s="48" t="str">
        <f>CONCATENATE(УЧРЕЖДЕНИЯ!$A$11)</f>
        <v>культура</v>
      </c>
      <c r="E324" s="92" t="s">
        <v>329</v>
      </c>
      <c r="F324" s="95">
        <v>226</v>
      </c>
      <c r="G324" s="95">
        <v>112</v>
      </c>
      <c r="H324" s="17" t="s">
        <v>187</v>
      </c>
      <c r="I324" s="93" t="str">
        <f>IF(OR(F324=152,F324=162,F324=510),IF((OR(LEFT(RIGHT(E324,13),1)={"A","D","E","F","G","I","L","N","P","R","S","T","V"})),"Ф",""),"")</f>
        <v/>
      </c>
    </row>
    <row r="325" spans="4:9" x14ac:dyDescent="0.3">
      <c r="D325" s="48" t="str">
        <f>CONCATENATE(УЧРЕЖДЕНИЯ!$A$11)</f>
        <v>культура</v>
      </c>
      <c r="E325" s="92" t="s">
        <v>329</v>
      </c>
      <c r="F325" s="95">
        <v>266</v>
      </c>
      <c r="G325" s="95">
        <v>112</v>
      </c>
      <c r="H325" s="17" t="s">
        <v>187</v>
      </c>
      <c r="I325" s="93" t="str">
        <f>IF(OR(F325=152,F325=162,F325=510),IF((OR(LEFT(RIGHT(E325,13),1)={"A","D","E","F","G","I","L","N","P","R","S","T","V"})),"Ф",""),"")</f>
        <v/>
      </c>
    </row>
    <row r="326" spans="4:9" x14ac:dyDescent="0.3">
      <c r="D326" s="48" t="str">
        <f>CONCATENATE(УЧРЕЖДЕНИЯ!$A$11)</f>
        <v>культура</v>
      </c>
      <c r="E326" s="92" t="s">
        <v>339</v>
      </c>
      <c r="F326" s="95">
        <v>296</v>
      </c>
      <c r="G326" s="95">
        <v>113</v>
      </c>
      <c r="H326" s="17" t="s">
        <v>187</v>
      </c>
      <c r="I326" s="93" t="str">
        <f>IF(OR(F326=152,F326=162,F326=510),IF((OR(LEFT(RIGHT(E326,13),1)={"A","D","E","F","G","I","L","N","P","R","S","T","V"})),"Ф",""),"")</f>
        <v/>
      </c>
    </row>
    <row r="327" spans="4:9" x14ac:dyDescent="0.3">
      <c r="D327" s="48" t="str">
        <f>CONCATENATE(УЧРЕЖДЕНИЯ!$A$11)</f>
        <v>культура</v>
      </c>
      <c r="E327" s="92" t="s">
        <v>330</v>
      </c>
      <c r="F327" s="95">
        <v>213</v>
      </c>
      <c r="G327" s="95">
        <v>119</v>
      </c>
      <c r="H327" s="17" t="s">
        <v>187</v>
      </c>
      <c r="I327" s="93" t="str">
        <f>IF(OR(F327=152,F327=162,F327=510),IF((OR(LEFT(RIGHT(E327,13),1)={"A","D","E","F","G","I","L","N","P","R","S","T","V"})),"Ф",""),"")</f>
        <v/>
      </c>
    </row>
    <row r="328" spans="4:9" x14ac:dyDescent="0.3">
      <c r="D328" s="48" t="str">
        <f>CONCATENATE(УЧРЕЖДЕНИЯ!$A$11)</f>
        <v>культура</v>
      </c>
      <c r="E328" s="92" t="s">
        <v>331</v>
      </c>
      <c r="F328" s="95">
        <v>221</v>
      </c>
      <c r="G328" s="95">
        <v>244</v>
      </c>
      <c r="H328" s="17" t="s">
        <v>187</v>
      </c>
      <c r="I328" s="93" t="str">
        <f>IF(OR(F328=152,F328=162,F328=510),IF((OR(LEFT(RIGHT(E328,13),1)={"A","D","E","F","G","I","L","N","P","R","S","T","V"})),"Ф",""),"")</f>
        <v/>
      </c>
    </row>
    <row r="329" spans="4:9" x14ac:dyDescent="0.3">
      <c r="D329" s="48" t="str">
        <f>CONCATENATE(УЧРЕЖДЕНИЯ!$A$11)</f>
        <v>культура</v>
      </c>
      <c r="E329" s="92" t="s">
        <v>331</v>
      </c>
      <c r="F329" s="95">
        <v>222</v>
      </c>
      <c r="G329" s="95">
        <v>244</v>
      </c>
      <c r="H329" s="17" t="s">
        <v>187</v>
      </c>
      <c r="I329" s="93" t="str">
        <f>IF(OR(F329=152,F329=162,F329=510),IF((OR(LEFT(RIGHT(E329,13),1)={"A","D","E","F","G","I","L","N","P","R","S","T","V"})),"Ф",""),"")</f>
        <v/>
      </c>
    </row>
    <row r="330" spans="4:9" x14ac:dyDescent="0.3">
      <c r="D330" s="48" t="str">
        <f>CONCATENATE(УЧРЕЖДЕНИЯ!$A$11)</f>
        <v>культура</v>
      </c>
      <c r="E330" s="92" t="s">
        <v>332</v>
      </c>
      <c r="F330" s="95">
        <v>2233</v>
      </c>
      <c r="G330" s="95">
        <v>244</v>
      </c>
      <c r="H330" s="17" t="s">
        <v>187</v>
      </c>
      <c r="I330" s="93" t="str">
        <f>IF(OR(F330=152,F330=162,F330=510),IF((OR(LEFT(RIGHT(E330,13),1)={"A","D","E","F","G","I","L","N","P","R","S","T","V"})),"Ф",""),"")</f>
        <v/>
      </c>
    </row>
    <row r="331" spans="4:9" x14ac:dyDescent="0.3">
      <c r="D331" s="48" t="str">
        <f>CONCATENATE(УЧРЕЖДЕНИЯ!$A$11)</f>
        <v>культура</v>
      </c>
      <c r="E331" s="92" t="s">
        <v>331</v>
      </c>
      <c r="F331" s="95">
        <v>225</v>
      </c>
      <c r="G331" s="95">
        <v>244</v>
      </c>
      <c r="H331" s="17" t="s">
        <v>187</v>
      </c>
      <c r="I331" s="93" t="str">
        <f>IF(OR(F331=152,F331=162,F331=510),IF((OR(LEFT(RIGHT(E331,13),1)={"A","D","E","F","G","I","L","N","P","R","S","T","V"})),"Ф",""),"")</f>
        <v/>
      </c>
    </row>
    <row r="332" spans="4:9" x14ac:dyDescent="0.3">
      <c r="D332" s="48" t="str">
        <f>CONCATENATE(УЧРЕЖДЕНИЯ!$A$11)</f>
        <v>культура</v>
      </c>
      <c r="E332" s="92" t="s">
        <v>331</v>
      </c>
      <c r="F332" s="95">
        <v>226</v>
      </c>
      <c r="G332" s="95">
        <v>244</v>
      </c>
      <c r="H332" s="17" t="s">
        <v>187</v>
      </c>
      <c r="I332" s="93" t="str">
        <f>IF(OR(F332=152,F332=162,F332=510),IF((OR(LEFT(RIGHT(E332,13),1)={"A","D","E","F","G","I","L","N","P","R","S","T","V"})),"Ф",""),"")</f>
        <v/>
      </c>
    </row>
    <row r="333" spans="4:9" x14ac:dyDescent="0.3">
      <c r="D333" s="48" t="str">
        <f>CONCATENATE(УЧРЕЖДЕНИЯ!$A$11)</f>
        <v>культура</v>
      </c>
      <c r="E333" s="92" t="s">
        <v>331</v>
      </c>
      <c r="F333" s="95">
        <v>227</v>
      </c>
      <c r="G333" s="95">
        <v>244</v>
      </c>
      <c r="H333" s="17" t="s">
        <v>187</v>
      </c>
      <c r="I333" s="93" t="str">
        <f>IF(OR(F333=152,F333=162,F333=510),IF((OR(LEFT(RIGHT(E333,13),1)={"A","D","E","F","G","I","L","N","P","R","S","T","V"})),"Ф",""),"")</f>
        <v/>
      </c>
    </row>
    <row r="334" spans="4:9" x14ac:dyDescent="0.3">
      <c r="D334" s="48" t="str">
        <f>CONCATENATE(УЧРЕЖДЕНИЯ!$A$11)</f>
        <v>культура</v>
      </c>
      <c r="E334" s="92" t="s">
        <v>331</v>
      </c>
      <c r="F334" s="95">
        <v>228</v>
      </c>
      <c r="G334" s="95">
        <v>244</v>
      </c>
      <c r="H334" s="17" t="s">
        <v>187</v>
      </c>
      <c r="I334" s="93" t="str">
        <f>IF(OR(F334=152,F334=162,F334=510),IF((OR(LEFT(RIGHT(E334,13),1)={"A","D","E","F","G","I","L","N","P","R","S","T","V"})),"Ф",""),"")</f>
        <v/>
      </c>
    </row>
    <row r="335" spans="4:9" x14ac:dyDescent="0.3">
      <c r="D335" s="48" t="str">
        <f>CONCATENATE(УЧРЕЖДЕНИЯ!$A$11)</f>
        <v>культура</v>
      </c>
      <c r="E335" s="92" t="s">
        <v>331</v>
      </c>
      <c r="F335" s="95">
        <v>296</v>
      </c>
      <c r="G335" s="95">
        <v>244</v>
      </c>
      <c r="H335" s="17" t="s">
        <v>187</v>
      </c>
      <c r="I335" s="93" t="str">
        <f>IF(OR(F335=152,F335=162,F335=510),IF((OR(LEFT(RIGHT(E335,13),1)={"A","D","E","F","G","I","L","N","P","R","S","T","V"})),"Ф",""),"")</f>
        <v/>
      </c>
    </row>
    <row r="336" spans="4:9" x14ac:dyDescent="0.3">
      <c r="D336" s="48" t="str">
        <f>CONCATENATE(УЧРЕЖДЕНИЯ!$A$11)</f>
        <v>культура</v>
      </c>
      <c r="E336" s="92" t="s">
        <v>331</v>
      </c>
      <c r="F336" s="95">
        <v>310</v>
      </c>
      <c r="G336" s="95">
        <v>244</v>
      </c>
      <c r="H336" s="17" t="s">
        <v>187</v>
      </c>
      <c r="I336" s="93" t="str">
        <f>IF(OR(F336=152,F336=162,F336=510),IF((OR(LEFT(RIGHT(E336,13),1)={"A","D","E","F","G","I","L","N","P","R","S","T","V"})),"Ф",""),"")</f>
        <v/>
      </c>
    </row>
    <row r="337" spans="4:9" x14ac:dyDescent="0.3">
      <c r="D337" s="48" t="str">
        <f>CONCATENATE(УЧРЕЖДЕНИЯ!$A$11)</f>
        <v>культура</v>
      </c>
      <c r="E337" s="92" t="s">
        <v>331</v>
      </c>
      <c r="F337" s="95">
        <v>341</v>
      </c>
      <c r="G337" s="95">
        <v>244</v>
      </c>
      <c r="H337" s="17" t="s">
        <v>187</v>
      </c>
      <c r="I337" s="93" t="str">
        <f>IF(OR(F337=152,F337=162,F337=510),IF((OR(LEFT(RIGHT(E337,13),1)={"A","D","E","F","G","I","L","N","P","R","S","T","V"})),"Ф",""),"")</f>
        <v/>
      </c>
    </row>
    <row r="338" spans="4:9" x14ac:dyDescent="0.3">
      <c r="D338" s="48" t="str">
        <f>CONCATENATE(УЧРЕЖДЕНИЯ!$A$11)</f>
        <v>культура</v>
      </c>
      <c r="E338" s="92" t="s">
        <v>331</v>
      </c>
      <c r="F338" s="95">
        <v>342</v>
      </c>
      <c r="G338" s="95">
        <v>244</v>
      </c>
      <c r="H338" s="17" t="s">
        <v>187</v>
      </c>
      <c r="I338" s="93" t="str">
        <f>IF(OR(F338=152,F338=162,F338=510),IF((OR(LEFT(RIGHT(E338,13),1)={"A","D","E","F","G","I","L","N","P","R","S","T","V"})),"Ф",""),"")</f>
        <v/>
      </c>
    </row>
    <row r="339" spans="4:9" x14ac:dyDescent="0.3">
      <c r="D339" s="48" t="str">
        <f>CONCATENATE(УЧРЕЖДЕНИЯ!$A$11)</f>
        <v>культура</v>
      </c>
      <c r="E339" s="92" t="s">
        <v>331</v>
      </c>
      <c r="F339" s="95">
        <v>343</v>
      </c>
      <c r="G339" s="95">
        <v>244</v>
      </c>
      <c r="H339" s="17" t="s">
        <v>187</v>
      </c>
      <c r="I339" s="93" t="str">
        <f>IF(OR(F339=152,F339=162,F339=510),IF((OR(LEFT(RIGHT(E339,13),1)={"A","D","E","F","G","I","L","N","P","R","S","T","V"})),"Ф",""),"")</f>
        <v/>
      </c>
    </row>
    <row r="340" spans="4:9" x14ac:dyDescent="0.3">
      <c r="D340" s="48" t="str">
        <f>CONCATENATE(УЧРЕЖДЕНИЯ!$A$11)</f>
        <v>культура</v>
      </c>
      <c r="E340" s="92" t="s">
        <v>331</v>
      </c>
      <c r="F340" s="95">
        <v>344</v>
      </c>
      <c r="G340" s="95">
        <v>244</v>
      </c>
      <c r="H340" s="17" t="s">
        <v>187</v>
      </c>
      <c r="I340" s="93" t="str">
        <f>IF(OR(F340=152,F340=162,F340=510),IF((OR(LEFT(RIGHT(E340,13),1)={"A","D","E","F","G","I","L","N","P","R","S","T","V"})),"Ф",""),"")</f>
        <v/>
      </c>
    </row>
    <row r="341" spans="4:9" x14ac:dyDescent="0.3">
      <c r="D341" s="48" t="str">
        <f>CONCATENATE(УЧРЕЖДЕНИЯ!$A$11)</f>
        <v>культура</v>
      </c>
      <c r="E341" s="92" t="s">
        <v>331</v>
      </c>
      <c r="F341" s="95">
        <v>345</v>
      </c>
      <c r="G341" s="95">
        <v>244</v>
      </c>
      <c r="H341" s="17" t="s">
        <v>187</v>
      </c>
      <c r="I341" s="93" t="str">
        <f>IF(OR(F341=152,F341=162,F341=510),IF((OR(LEFT(RIGHT(E341,13),1)={"A","D","E","F","G","I","L","N","P","R","S","T","V"})),"Ф",""),"")</f>
        <v/>
      </c>
    </row>
    <row r="342" spans="4:9" x14ac:dyDescent="0.3">
      <c r="D342" s="48" t="str">
        <f>CONCATENATE(УЧРЕЖДЕНИЯ!$A$11)</f>
        <v>культура</v>
      </c>
      <c r="E342" s="92" t="s">
        <v>331</v>
      </c>
      <c r="F342" s="95">
        <v>346</v>
      </c>
      <c r="G342" s="95">
        <v>244</v>
      </c>
      <c r="H342" s="17" t="s">
        <v>187</v>
      </c>
      <c r="I342" s="93" t="str">
        <f>IF(OR(F342=152,F342=162,F342=510),IF((OR(LEFT(RIGHT(E342,13),1)={"A","D","E","F","G","I","L","N","P","R","S","T","V"})),"Ф",""),"")</f>
        <v/>
      </c>
    </row>
    <row r="343" spans="4:9" x14ac:dyDescent="0.3">
      <c r="D343" s="48" t="str">
        <f>CONCATENATE(УЧРЕЖДЕНИЯ!$A$11)</f>
        <v>культура</v>
      </c>
      <c r="E343" s="92" t="s">
        <v>331</v>
      </c>
      <c r="F343" s="95">
        <v>347</v>
      </c>
      <c r="G343" s="95">
        <v>244</v>
      </c>
      <c r="H343" s="17" t="s">
        <v>187</v>
      </c>
      <c r="I343" s="93" t="str">
        <f>IF(OR(F343=152,F343=162,F343=510),IF((OR(LEFT(RIGHT(E343,13),1)={"A","D","E","F","G","I","L","N","P","R","S","T","V"})),"Ф",""),"")</f>
        <v/>
      </c>
    </row>
    <row r="344" spans="4:9" x14ac:dyDescent="0.3">
      <c r="D344" s="48" t="str">
        <f>CONCATENATE(УЧРЕЖДЕНИЯ!$A$11)</f>
        <v>культура</v>
      </c>
      <c r="E344" s="92" t="s">
        <v>331</v>
      </c>
      <c r="F344" s="95">
        <v>349</v>
      </c>
      <c r="G344" s="95">
        <v>244</v>
      </c>
      <c r="H344" s="17" t="s">
        <v>187</v>
      </c>
      <c r="I344" s="93" t="str">
        <f>IF(OR(F344=152,F344=162,F344=510),IF((OR(LEFT(RIGHT(E344,13),1)={"A","D","E","F","G","I","L","N","P","R","S","T","V"})),"Ф",""),"")</f>
        <v/>
      </c>
    </row>
    <row r="345" spans="4:9" x14ac:dyDescent="0.3">
      <c r="D345" s="48" t="str">
        <f>CONCATENATE(УЧРЕЖДЕНИЯ!$A$11)</f>
        <v>культура</v>
      </c>
      <c r="E345" s="92" t="s">
        <v>651</v>
      </c>
      <c r="F345" s="95">
        <v>2231</v>
      </c>
      <c r="G345" s="95">
        <v>247</v>
      </c>
      <c r="H345" s="17" t="s">
        <v>187</v>
      </c>
      <c r="I345" s="93" t="str">
        <f>IF(OR(F345=152,F345=162,F345=510),IF((OR(LEFT(RIGHT(E345,13),1)={"A","D","E","F","G","I","L","N","P","R","S","T","V"})),"Ф",""),"")</f>
        <v/>
      </c>
    </row>
    <row r="346" spans="4:9" x14ac:dyDescent="0.3">
      <c r="D346" s="48" t="str">
        <f>CONCATENATE(УЧРЕЖДЕНИЯ!$A$11)</f>
        <v>культура</v>
      </c>
      <c r="E346" s="92" t="s">
        <v>663</v>
      </c>
      <c r="F346" s="95">
        <v>2232</v>
      </c>
      <c r="G346" s="95">
        <v>247</v>
      </c>
      <c r="H346" s="17" t="s">
        <v>187</v>
      </c>
      <c r="I346" s="93" t="str">
        <f>IF(OR(F346=152,F346=162,F346=510),IF((OR(LEFT(RIGHT(E346,13),1)={"A","D","E","F","G","I","L","N","P","R","S","T","V"})),"Ф",""),"")</f>
        <v/>
      </c>
    </row>
    <row r="347" spans="4:9" x14ac:dyDescent="0.3">
      <c r="D347" s="48" t="str">
        <f>CONCATENATE(УЧРЕЖДЕНИЯ!$A$11)</f>
        <v>культура</v>
      </c>
      <c r="E347" s="92" t="s">
        <v>333</v>
      </c>
      <c r="F347" s="95">
        <v>262</v>
      </c>
      <c r="G347" s="95">
        <v>360</v>
      </c>
      <c r="H347" s="17" t="s">
        <v>187</v>
      </c>
      <c r="I347" s="93" t="str">
        <f>IF(OR(F347=152,F347=162,F347=510),IF((OR(LEFT(RIGHT(E347,13),1)={"A","D","E","F","G","I","L","N","P","R","S","T","V"})),"Ф",""),"")</f>
        <v/>
      </c>
    </row>
    <row r="348" spans="4:9" x14ac:dyDescent="0.3">
      <c r="D348" s="48" t="str">
        <f>CONCATENATE(УЧРЕЖДЕНИЯ!$A$11)</f>
        <v>культура</v>
      </c>
      <c r="E348" s="92" t="s">
        <v>326</v>
      </c>
      <c r="F348" s="95">
        <v>510</v>
      </c>
      <c r="G348" s="95">
        <v>510</v>
      </c>
      <c r="H348" s="17" t="s">
        <v>187</v>
      </c>
      <c r="I348" s="93" t="str">
        <f>IF(OR(F348=152,F348=162,F348=510),IF((OR(LEFT(RIGHT(E348,13),1)={"A","D","E","F","G","I","L","N","P","R","S","T","V"})),"Ф",""),"")</f>
        <v/>
      </c>
    </row>
    <row r="349" spans="4:9" x14ac:dyDescent="0.3">
      <c r="D349" s="48" t="str">
        <f>CONCATENATE(УЧРЕЖДЕНИЯ!$A$11)</f>
        <v>культура</v>
      </c>
      <c r="E349" s="92" t="s">
        <v>338</v>
      </c>
      <c r="F349" s="95">
        <v>296</v>
      </c>
      <c r="G349" s="95">
        <v>831</v>
      </c>
      <c r="H349" s="17" t="s">
        <v>187</v>
      </c>
      <c r="I349" s="93" t="str">
        <f>IF(OR(F349=152,F349=162,F349=510),IF((OR(LEFT(RIGHT(E349,13),1)={"A","D","E","F","G","I","L","N","P","R","S","T","V"})),"Ф",""),"")</f>
        <v/>
      </c>
    </row>
    <row r="350" spans="4:9" x14ac:dyDescent="0.3">
      <c r="D350" s="48" t="str">
        <f>CONCATENATE(УЧРЕЖДЕНИЯ!$A$11)</f>
        <v>культура</v>
      </c>
      <c r="E350" s="92" t="s">
        <v>338</v>
      </c>
      <c r="F350" s="95">
        <v>297</v>
      </c>
      <c r="G350" s="95">
        <v>831</v>
      </c>
      <c r="H350" s="17" t="s">
        <v>187</v>
      </c>
      <c r="I350" s="93" t="str">
        <f>IF(OR(F350=152,F350=162,F350=510),IF((OR(LEFT(RIGHT(E350,13),1)={"A","D","E","F","G","I","L","N","P","R","S","T","V"})),"Ф",""),"")</f>
        <v/>
      </c>
    </row>
    <row r="351" spans="4:9" x14ac:dyDescent="0.3">
      <c r="D351" s="48" t="str">
        <f>CONCATENATE(УЧРЕЖДЕНИЯ!$A$11)</f>
        <v>культура</v>
      </c>
      <c r="E351" s="92" t="s">
        <v>334</v>
      </c>
      <c r="F351" s="95">
        <v>291</v>
      </c>
      <c r="G351" s="95">
        <v>851</v>
      </c>
      <c r="H351" s="17" t="s">
        <v>187</v>
      </c>
      <c r="I351" s="93" t="str">
        <f>IF(OR(F351=152,F351=162,F351=510),IF((OR(LEFT(RIGHT(E351,13),1)={"A","D","E","F","G","I","L","N","P","R","S","T","V"})),"Ф",""),"")</f>
        <v/>
      </c>
    </row>
    <row r="352" spans="4:9" x14ac:dyDescent="0.3">
      <c r="D352" s="48" t="str">
        <f>CONCATENATE(УЧРЕЖДЕНИЯ!$A$11)</f>
        <v>культура</v>
      </c>
      <c r="E352" s="92" t="s">
        <v>335</v>
      </c>
      <c r="F352" s="95">
        <v>291</v>
      </c>
      <c r="G352" s="95">
        <v>852</v>
      </c>
      <c r="H352" s="17" t="s">
        <v>909</v>
      </c>
      <c r="I352" s="93" t="str">
        <f>IF(OR(F352=152,F352=162,F352=510),IF((OR(LEFT(RIGHT(E352,13),1)={"A","D","E","F","G","I","L","N","P","R","S","T","V"})),"Ф",""),"")</f>
        <v/>
      </c>
    </row>
    <row r="353" spans="4:9" x14ac:dyDescent="0.3">
      <c r="D353" s="48" t="str">
        <f>CONCATENATE(УЧРЕЖДЕНИЯ!$A$11)</f>
        <v>культура</v>
      </c>
      <c r="E353" s="92" t="s">
        <v>336</v>
      </c>
      <c r="F353" s="95">
        <v>291</v>
      </c>
      <c r="G353" s="95">
        <v>853</v>
      </c>
      <c r="H353" s="17" t="s">
        <v>187</v>
      </c>
      <c r="I353" s="93" t="str">
        <f>IF(OR(F353=152,F353=162,F353=510),IF((OR(LEFT(RIGHT(E353,13),1)={"A","D","E","F","G","I","L","N","P","R","S","T","V"})),"Ф",""),"")</f>
        <v/>
      </c>
    </row>
    <row r="354" spans="4:9" x14ac:dyDescent="0.3">
      <c r="D354" s="48" t="str">
        <f>CONCATENATE(УЧРЕЖДЕНИЯ!$A$11)</f>
        <v>культура</v>
      </c>
      <c r="E354" s="92" t="s">
        <v>336</v>
      </c>
      <c r="F354" s="95">
        <v>292</v>
      </c>
      <c r="G354" s="95">
        <v>853</v>
      </c>
      <c r="H354" s="17" t="s">
        <v>187</v>
      </c>
      <c r="I354" s="93" t="str">
        <f>IF(OR(F354=152,F354=162,F354=510),IF((OR(LEFT(RIGHT(E354,13),1)={"A","D","E","F","G","I","L","N","P","R","S","T","V"})),"Ф",""),"")</f>
        <v/>
      </c>
    </row>
    <row r="355" spans="4:9" x14ac:dyDescent="0.3">
      <c r="D355" s="48" t="str">
        <f>CONCATENATE(УЧРЕЖДЕНИЯ!$A$11)</f>
        <v>культура</v>
      </c>
      <c r="E355" s="92" t="s">
        <v>336</v>
      </c>
      <c r="F355" s="95">
        <v>293</v>
      </c>
      <c r="G355" s="95">
        <v>853</v>
      </c>
      <c r="H355" s="17" t="s">
        <v>187</v>
      </c>
      <c r="I355" s="93" t="str">
        <f>IF(OR(F355=152,F355=162,F355=510),IF((OR(LEFT(RIGHT(E355,13),1)={"A","D","E","F","G","I","L","N","P","R","S","T","V"})),"Ф",""),"")</f>
        <v/>
      </c>
    </row>
    <row r="356" spans="4:9" x14ac:dyDescent="0.3">
      <c r="D356" s="48" t="str">
        <f>CONCATENATE(УЧРЕЖДЕНИЯ!$A$11)</f>
        <v>культура</v>
      </c>
      <c r="E356" s="92" t="s">
        <v>319</v>
      </c>
      <c r="F356" s="95">
        <v>135</v>
      </c>
      <c r="G356" s="95">
        <v>130</v>
      </c>
      <c r="H356" s="17" t="s">
        <v>187</v>
      </c>
      <c r="I356" s="93" t="str">
        <f>IF(OR(F356=152,F356=162,F356=510),IF((OR(LEFT(RIGHT(E356,13),1)={"A","D","E","F","G","I","L","N","P","R","S","T","V"})),"Ф",""),"")</f>
        <v/>
      </c>
    </row>
    <row r="357" spans="4:9" x14ac:dyDescent="0.3">
      <c r="D357" s="48" t="str">
        <f>CONCATENATE(УЧРЕЖДЕНИЯ!$A$11)</f>
        <v>культура</v>
      </c>
      <c r="E357" s="92" t="s">
        <v>851</v>
      </c>
      <c r="F357" s="95">
        <v>2233</v>
      </c>
      <c r="G357" s="95">
        <v>244</v>
      </c>
      <c r="H357" s="17" t="s">
        <v>187</v>
      </c>
      <c r="I357" s="93" t="str">
        <f>IF(OR(F357=152,F357=162,F357=510),IF((OR(LEFT(RIGHT(E357,13),1)={"A","D","E","F","G","I","L","N","P","R","S","T","V"})),"Ф",""),"")</f>
        <v/>
      </c>
    </row>
    <row r="358" spans="4:9" x14ac:dyDescent="0.3">
      <c r="D358" s="48" t="str">
        <f>CONCATENATE(УЧРЕЖДЕНИЯ!$A$11)</f>
        <v>культура</v>
      </c>
      <c r="E358" s="92" t="s">
        <v>653</v>
      </c>
      <c r="F358" s="95">
        <v>2231</v>
      </c>
      <c r="G358" s="95">
        <v>247</v>
      </c>
      <c r="H358" s="17" t="s">
        <v>187</v>
      </c>
      <c r="I358" s="93" t="str">
        <f>IF(OR(F358=152,F358=162,F358=510),IF((OR(LEFT(RIGHT(E358,13),1)={"A","D","E","F","G","I","L","N","P","R","S","T","V"})),"Ф",""),"")</f>
        <v/>
      </c>
    </row>
    <row r="359" spans="4:9" x14ac:dyDescent="0.3">
      <c r="D359" s="48" t="str">
        <f>CONCATENATE(УЧРЕЖДЕНИЯ!$A$11)</f>
        <v>культура</v>
      </c>
      <c r="E359" s="92" t="s">
        <v>850</v>
      </c>
      <c r="F359" s="95">
        <v>2232</v>
      </c>
      <c r="G359" s="95">
        <v>247</v>
      </c>
      <c r="H359" s="17" t="s">
        <v>187</v>
      </c>
      <c r="I359" s="93" t="str">
        <f>IF(OR(F359=152,F359=162,F359=510),IF((OR(LEFT(RIGHT(E359,13),1)={"A","D","E","F","G","I","L","N","P","R","S","T","V"})),"Ф",""),"")</f>
        <v/>
      </c>
    </row>
    <row r="360" spans="4:9" x14ac:dyDescent="0.3">
      <c r="D360" s="48" t="str">
        <f>CONCATENATE(УЧРЕЖДЕНИЯ!$A$11)</f>
        <v>культура</v>
      </c>
      <c r="E360" s="92" t="s">
        <v>340</v>
      </c>
      <c r="F360" s="93">
        <v>510</v>
      </c>
      <c r="G360" s="95">
        <v>510</v>
      </c>
      <c r="H360" s="17" t="s">
        <v>187</v>
      </c>
      <c r="I360" s="93" t="str">
        <f>IF(OR(F360=152,F360=162,F360=510),IF((OR(LEFT(RIGHT(E360,13),1)={"A","D","E","F","G","I","L","N","P","R","S","T","V"})),"Ф",""),"")</f>
        <v/>
      </c>
    </row>
    <row r="361" spans="4:9" x14ac:dyDescent="0.3">
      <c r="D361" s="48" t="str">
        <f>CONCATENATE(УЧРЕЖДЕНИЯ!$A$11)</f>
        <v>культура</v>
      </c>
      <c r="E361" s="92" t="s">
        <v>341</v>
      </c>
      <c r="F361" s="93">
        <v>6101</v>
      </c>
      <c r="G361" s="93">
        <v>610</v>
      </c>
      <c r="H361" s="17" t="s">
        <v>187</v>
      </c>
      <c r="I361" s="93" t="str">
        <f>IF(OR(F361=152,F361=162,F361=510),IF((OR(LEFT(RIGHT(E361,13),1)={"A","D","E","F","G","I","L","N","P","R","S","T","V"})),"Ф",""),"")</f>
        <v/>
      </c>
    </row>
    <row r="362" spans="4:9" x14ac:dyDescent="0.3">
      <c r="D362" s="48" t="str">
        <f>CONCATENATE(УЧРЕЖДЕНИЯ!$A$11)</f>
        <v>культура</v>
      </c>
      <c r="E362" s="92" t="s">
        <v>343</v>
      </c>
      <c r="F362" s="93">
        <v>155</v>
      </c>
      <c r="G362" s="93">
        <v>150</v>
      </c>
      <c r="H362" s="17" t="s">
        <v>187</v>
      </c>
      <c r="I362" s="93" t="str">
        <f>IF(OR(F362=152,F362=162,F362=510),IF((OR(LEFT(RIGHT(E362,13),1)={"A","D","E","F","G","I","L","N","P","R","S","T","V"})),"Ф",""),"")</f>
        <v/>
      </c>
    </row>
    <row r="363" spans="4:9" x14ac:dyDescent="0.3">
      <c r="D363" s="48" t="str">
        <f>CONCATENATE(УЧРЕЖДЕНИЯ!$A$11)</f>
        <v>культура</v>
      </c>
      <c r="E363" s="92" t="s">
        <v>344</v>
      </c>
      <c r="F363" s="93">
        <v>225</v>
      </c>
      <c r="G363" s="93">
        <v>244</v>
      </c>
      <c r="H363" s="17" t="s">
        <v>187</v>
      </c>
      <c r="I363" s="93" t="str">
        <f>IF(OR(F363=152,F363=162,F363=510),IF((OR(LEFT(RIGHT(E363,13),1)={"A","D","E","F","G","I","L","N","P","R","S","T","V"})),"Ф",""),"")</f>
        <v/>
      </c>
    </row>
    <row r="364" spans="4:9" x14ac:dyDescent="0.3">
      <c r="D364" s="48" t="str">
        <f>CONCATENATE(УЧРЕЖДЕНИЯ!$A$11)</f>
        <v>культура</v>
      </c>
      <c r="E364" s="92" t="s">
        <v>344</v>
      </c>
      <c r="F364" s="93">
        <v>226</v>
      </c>
      <c r="G364" s="93">
        <v>244</v>
      </c>
      <c r="H364" s="17" t="s">
        <v>187</v>
      </c>
      <c r="I364" s="93" t="str">
        <f>IF(OR(F364=152,F364=162,F364=510),IF((OR(LEFT(RIGHT(E364,13),1)={"A","D","E","F","G","I","L","N","P","R","S","T","V"})),"Ф",""),"")</f>
        <v/>
      </c>
    </row>
    <row r="365" spans="4:9" x14ac:dyDescent="0.3">
      <c r="D365" s="48" t="str">
        <f>CONCATENATE(УЧРЕЖДЕНИЯ!$A$11)</f>
        <v>культура</v>
      </c>
      <c r="E365" s="92" t="s">
        <v>344</v>
      </c>
      <c r="F365" s="93">
        <v>296</v>
      </c>
      <c r="G365" s="93">
        <v>244</v>
      </c>
      <c r="H365" s="17" t="s">
        <v>187</v>
      </c>
      <c r="I365" s="93" t="str">
        <f>IF(OR(F365=152,F365=162,F365=510),IF((OR(LEFT(RIGHT(E365,13),1)={"A","D","E","F","G","I","L","N","P","R","S","T","V"})),"Ф",""),"")</f>
        <v/>
      </c>
    </row>
    <row r="366" spans="4:9" x14ac:dyDescent="0.3">
      <c r="D366" s="48" t="str">
        <f>CONCATENATE(УЧРЕЖДЕНИЯ!$A$11)</f>
        <v>культура</v>
      </c>
      <c r="E366" s="92" t="s">
        <v>344</v>
      </c>
      <c r="F366" s="93">
        <v>310</v>
      </c>
      <c r="G366" s="93">
        <v>244</v>
      </c>
      <c r="H366" s="17" t="s">
        <v>187</v>
      </c>
      <c r="I366" s="93" t="str">
        <f>IF(OR(F366=152,F366=162,F366=510),IF((OR(LEFT(RIGHT(E366,13),1)={"A","D","E","F","G","I","L","N","P","R","S","T","V"})),"Ф",""),"")</f>
        <v/>
      </c>
    </row>
    <row r="367" spans="4:9" x14ac:dyDescent="0.3">
      <c r="D367" s="48" t="str">
        <f>CONCATENATE(УЧРЕЖДЕНИЯ!$A$11)</f>
        <v>культура</v>
      </c>
      <c r="E367" s="92" t="s">
        <v>344</v>
      </c>
      <c r="F367" s="93">
        <v>345</v>
      </c>
      <c r="G367" s="93">
        <v>244</v>
      </c>
      <c r="H367" s="17" t="s">
        <v>187</v>
      </c>
      <c r="I367" s="93" t="str">
        <f>IF(OR(F367=152,F367=162,F367=510),IF((OR(LEFT(RIGHT(E367,13),1)={"A","D","E","F","G","I","L","N","P","R","S","T","V"})),"Ф",""),"")</f>
        <v/>
      </c>
    </row>
    <row r="368" spans="4:9" x14ac:dyDescent="0.3">
      <c r="D368" s="48" t="str">
        <f>CONCATENATE(УЧРЕЖДЕНИЯ!$A$11)</f>
        <v>культура</v>
      </c>
      <c r="E368" s="92" t="s">
        <v>344</v>
      </c>
      <c r="F368" s="93">
        <v>346</v>
      </c>
      <c r="G368" s="93">
        <v>244</v>
      </c>
      <c r="H368" s="17" t="s">
        <v>187</v>
      </c>
      <c r="I368" s="93" t="str">
        <f>IF(OR(F368=152,F368=162,F368=510),IF((OR(LEFT(RIGHT(E368,13),1)={"A","D","E","F","G","I","L","N","P","R","S","T","V"})),"Ф",""),"")</f>
        <v/>
      </c>
    </row>
    <row r="369" spans="2:9" x14ac:dyDescent="0.3">
      <c r="D369" s="48" t="str">
        <f>CONCATENATE(УЧРЕЖДЕНИЯ!$A$11)</f>
        <v>культура</v>
      </c>
      <c r="E369" s="92" t="s">
        <v>344</v>
      </c>
      <c r="F369" s="93">
        <v>347</v>
      </c>
      <c r="G369" s="93">
        <v>244</v>
      </c>
      <c r="H369" s="17" t="s">
        <v>187</v>
      </c>
      <c r="I369" s="93" t="str">
        <f>IF(OR(F369=152,F369=162,F369=510),IF((OR(LEFT(RIGHT(E369,13),1)={"A","D","E","F","G","I","L","N","P","R","S","T","V"})),"Ф",""),"")</f>
        <v/>
      </c>
    </row>
    <row r="370" spans="2:9" x14ac:dyDescent="0.3">
      <c r="D370" s="48" t="str">
        <f>CONCATENATE(УЧРЕЖДЕНИЯ!$A$11)</f>
        <v>культура</v>
      </c>
      <c r="E370" s="92" t="s">
        <v>344</v>
      </c>
      <c r="F370" s="93">
        <v>349</v>
      </c>
      <c r="G370" s="93">
        <v>244</v>
      </c>
      <c r="H370" s="17" t="s">
        <v>187</v>
      </c>
      <c r="I370" s="93" t="str">
        <f>IF(OR(F370=152,F370=162,F370=510),IF((OR(LEFT(RIGHT(E370,13),1)={"A","D","E","F","G","I","L","N","P","R","S","T","V"})),"Ф",""),"")</f>
        <v/>
      </c>
    </row>
    <row r="371" spans="2:9" x14ac:dyDescent="0.3">
      <c r="D371" s="48" t="str">
        <f>CONCATENATE(УЧРЕЖДЕНИЯ!$A$11)</f>
        <v>культура</v>
      </c>
      <c r="E371" s="92" t="s">
        <v>345</v>
      </c>
      <c r="F371" s="93">
        <v>296</v>
      </c>
      <c r="G371" s="93">
        <v>350</v>
      </c>
      <c r="H371" s="17" t="s">
        <v>187</v>
      </c>
      <c r="I371" s="93" t="str">
        <f>IF(OR(F371=152,F371=162,F371=510),IF((OR(LEFT(RIGHT(E371,13),1)={"A","D","E","F","G","I","L","N","P","R","S","T","V"})),"Ф",""),"")</f>
        <v/>
      </c>
    </row>
    <row r="372" spans="2:9" x14ac:dyDescent="0.3">
      <c r="D372" s="48" t="str">
        <f>CONCATENATE(УЧРЕЖДЕНИЯ!$A$11)</f>
        <v>культура</v>
      </c>
      <c r="E372" s="92" t="s">
        <v>342</v>
      </c>
      <c r="F372" s="93">
        <v>510</v>
      </c>
      <c r="G372" s="95">
        <v>510</v>
      </c>
      <c r="H372" s="17" t="s">
        <v>187</v>
      </c>
      <c r="I372" s="93" t="str">
        <f>IF(OR(F372=152,F372=162,F372=510),IF((OR(LEFT(RIGHT(E372,13),1)={"A","D","E","F","G","I","L","N","P","R","S","T","V"})),"Ф",""),"")</f>
        <v/>
      </c>
    </row>
    <row r="373" spans="2:9" x14ac:dyDescent="0.3">
      <c r="D373" s="48" t="str">
        <f>CONCATENATE(УЧРЕЖДЕНИЯ!$A$11)</f>
        <v>культура</v>
      </c>
      <c r="E373" s="92" t="s">
        <v>346</v>
      </c>
      <c r="F373" s="93">
        <v>297</v>
      </c>
      <c r="G373" s="93">
        <v>853</v>
      </c>
      <c r="H373" s="17" t="s">
        <v>187</v>
      </c>
      <c r="I373" s="93" t="str">
        <f>IF(OR(F373=152,F373=162,F373=510),IF((OR(LEFT(RIGHT(E373,13),1)={"A","D","E","F","G","I","L","N","P","R","S","T","V"})),"Ф",""),"")</f>
        <v/>
      </c>
    </row>
    <row r="374" spans="2:9" x14ac:dyDescent="0.3">
      <c r="B374" s="48" t="s">
        <v>703</v>
      </c>
      <c r="C374" s="48" t="s">
        <v>195</v>
      </c>
      <c r="D374" s="48" t="str">
        <f>CONCATENATE(УЧРЕЖДЕНИЯ!$A$12)</f>
        <v>спорт</v>
      </c>
      <c r="E374" s="92" t="s">
        <v>340</v>
      </c>
      <c r="F374" s="95">
        <v>510</v>
      </c>
      <c r="G374" s="95">
        <v>510</v>
      </c>
      <c r="H374" s="17" t="s">
        <v>188</v>
      </c>
      <c r="I374" s="93" t="str">
        <f>IF(OR(F374=152,F374=162,F374=510),IF((OR(LEFT(RIGHT(E374,13),1)={"A","D","E","F","G","I","L","N","P","R","S","T","V"})),"Ф",""),"")</f>
        <v/>
      </c>
    </row>
    <row r="375" spans="2:9" x14ac:dyDescent="0.3">
      <c r="D375" s="48" t="str">
        <f>CONCATENATE(УЧРЕЖДЕНИЯ!$A$12)</f>
        <v>спорт</v>
      </c>
      <c r="E375" s="92" t="s">
        <v>341</v>
      </c>
      <c r="F375" s="95">
        <v>6101</v>
      </c>
      <c r="G375" s="95">
        <v>610</v>
      </c>
      <c r="H375" s="17" t="s">
        <v>188</v>
      </c>
      <c r="I375" s="93" t="str">
        <f>IF(OR(F375=152,F375=162,F375=510),IF((OR(LEFT(RIGHT(E375,13),1)={"A","D","E","F","G","I","L","N","P","R","S","T","V"})),"Ф",""),"")</f>
        <v/>
      </c>
    </row>
    <row r="376" spans="2:9" x14ac:dyDescent="0.3">
      <c r="D376" s="48" t="str">
        <f>CONCATENATE(УЧРЕЖДЕНИЯ!$A$12)</f>
        <v>спорт</v>
      </c>
      <c r="E376" s="92" t="s">
        <v>348</v>
      </c>
      <c r="F376" s="93">
        <v>121</v>
      </c>
      <c r="G376" s="93">
        <v>120</v>
      </c>
      <c r="H376" s="17" t="s">
        <v>188</v>
      </c>
      <c r="I376" s="93" t="str">
        <f>IF(OR(F376=152,F376=162,F376=510),IF((OR(LEFT(RIGHT(E376,13),1)={"A","D","E","F","G","I","L","N","P","R","S","T","V"})),"Ф",""),"")</f>
        <v/>
      </c>
    </row>
    <row r="377" spans="2:9" x14ac:dyDescent="0.3">
      <c r="D377" s="48" t="str">
        <f>CONCATENATE(УЧРЕЖДЕНИЯ!$A$12)</f>
        <v>спорт</v>
      </c>
      <c r="E377" s="92" t="s">
        <v>349</v>
      </c>
      <c r="F377" s="95">
        <v>225</v>
      </c>
      <c r="G377" s="95">
        <v>244</v>
      </c>
      <c r="H377" s="17" t="s">
        <v>188</v>
      </c>
      <c r="I377" s="93" t="str">
        <f>IF(OR(F377=152,F377=162,F377=510),IF((OR(LEFT(RIGHT(E377,13),1)={"A","D","E","F","G","I","L","N","P","R","S","T","V"})),"Ф",""),"")</f>
        <v/>
      </c>
    </row>
    <row r="378" spans="2:9" x14ac:dyDescent="0.3">
      <c r="D378" s="48" t="str">
        <f>CONCATENATE(УЧРЕЖДЕНИЯ!$A$12)</f>
        <v>спорт</v>
      </c>
      <c r="E378" s="92" t="s">
        <v>349</v>
      </c>
      <c r="F378" s="95">
        <v>226</v>
      </c>
      <c r="G378" s="95">
        <v>244</v>
      </c>
      <c r="H378" s="17" t="s">
        <v>188</v>
      </c>
      <c r="I378" s="93" t="str">
        <f>IF(OR(F378=152,F378=162,F378=510),IF((OR(LEFT(RIGHT(E378,13),1)={"A","D","E","F","G","I","L","N","P","R","S","T","V"})),"Ф",""),"")</f>
        <v/>
      </c>
    </row>
    <row r="379" spans="2:9" x14ac:dyDescent="0.3">
      <c r="D379" s="48" t="str">
        <f>CONCATENATE(УЧРЕЖДЕНИЯ!$A$12)</f>
        <v>спорт</v>
      </c>
      <c r="E379" s="92" t="s">
        <v>349</v>
      </c>
      <c r="F379" s="95">
        <v>310</v>
      </c>
      <c r="G379" s="95">
        <v>244</v>
      </c>
      <c r="H379" s="17" t="s">
        <v>188</v>
      </c>
      <c r="I379" s="93" t="str">
        <f>IF(OR(F379=152,F379=162,F379=510),IF((OR(LEFT(RIGHT(E379,13),1)={"A","D","E","F","G","I","L","N","P","R","S","T","V"})),"Ф",""),"")</f>
        <v/>
      </c>
    </row>
    <row r="380" spans="2:9" x14ac:dyDescent="0.3">
      <c r="D380" s="48" t="str">
        <f>CONCATENATE(УЧРЕЖДЕНИЯ!$A$12)</f>
        <v>спорт</v>
      </c>
      <c r="E380" s="92" t="s">
        <v>349</v>
      </c>
      <c r="F380" s="95">
        <v>346</v>
      </c>
      <c r="G380" s="95">
        <v>244</v>
      </c>
      <c r="H380" s="17" t="s">
        <v>188</v>
      </c>
      <c r="I380" s="93" t="str">
        <f>IF(OR(F380=152,F380=162,F380=510),IF((OR(LEFT(RIGHT(E380,13),1)={"A","D","E","F","G","I","L","N","P","R","S","T","V"})),"Ф",""),"")</f>
        <v/>
      </c>
    </row>
    <row r="381" spans="2:9" x14ac:dyDescent="0.3">
      <c r="D381" s="48" t="str">
        <f>CONCATENATE(УЧРЕЖДЕНИЯ!$A$12)</f>
        <v>спорт</v>
      </c>
      <c r="E381" s="92" t="s">
        <v>652</v>
      </c>
      <c r="F381" s="95">
        <v>2231</v>
      </c>
      <c r="G381" s="95">
        <v>247</v>
      </c>
      <c r="H381" s="17" t="s">
        <v>188</v>
      </c>
      <c r="I381" s="93" t="str">
        <f>IF(OR(F381=152,F381=162,F381=510),IF((OR(LEFT(RIGHT(E381,13),1)={"A","D","E","F","G","I","L","N","P","R","S","T","V"})),"Ф",""),"")</f>
        <v/>
      </c>
    </row>
    <row r="382" spans="2:9" x14ac:dyDescent="0.3">
      <c r="D382" s="48" t="str">
        <f>CONCATENATE(УЧРЕЖДЕНИЯ!$A$12)</f>
        <v>спорт</v>
      </c>
      <c r="E382" s="92" t="s">
        <v>664</v>
      </c>
      <c r="F382" s="95">
        <v>2232</v>
      </c>
      <c r="G382" s="95">
        <v>247</v>
      </c>
      <c r="H382" s="17" t="s">
        <v>188</v>
      </c>
      <c r="I382" s="93" t="str">
        <f>IF(OR(F382=152,F382=162,F382=510),IF((OR(LEFT(RIGHT(E382,13),1)={"A","D","E","F","G","I","L","N","P","R","S","T","V"})),"Ф",""),"")</f>
        <v/>
      </c>
    </row>
    <row r="383" spans="2:9" x14ac:dyDescent="0.3">
      <c r="D383" s="48" t="str">
        <f>CONCATENATE(УЧРЕЖДЕНИЯ!$A$12)</f>
        <v>спорт</v>
      </c>
      <c r="E383" s="92" t="s">
        <v>347</v>
      </c>
      <c r="F383" s="93">
        <v>510</v>
      </c>
      <c r="G383" s="93">
        <v>510</v>
      </c>
      <c r="H383" s="17" t="s">
        <v>188</v>
      </c>
      <c r="I383" s="93" t="str">
        <f>IF(OR(F383=152,F383=162,F383=510),IF((OR(LEFT(RIGHT(E383,13),1)={"A","D","E","F","G","I","L","N","P","R","S","T","V"})),"Ф",""),"")</f>
        <v/>
      </c>
    </row>
    <row r="384" spans="2:9" x14ac:dyDescent="0.3">
      <c r="D384" s="48" t="str">
        <f>CONCATENATE(УЧРЕЖДЕНИЯ!$A$12)</f>
        <v>спорт</v>
      </c>
      <c r="E384" s="92" t="s">
        <v>327</v>
      </c>
      <c r="F384" s="95">
        <v>131</v>
      </c>
      <c r="G384" s="95">
        <v>130</v>
      </c>
      <c r="H384" s="17" t="s">
        <v>188</v>
      </c>
      <c r="I384" s="93" t="str">
        <f>IF(OR(F384=152,F384=162,F384=510),IF((OR(LEFT(RIGHT(E384,13),1)={"A","D","E","F","G","I","L","N","P","R","S","T","V"})),"Ф",""),"")</f>
        <v/>
      </c>
    </row>
    <row r="385" spans="4:9" x14ac:dyDescent="0.3">
      <c r="D385" s="48" t="str">
        <f>CONCATENATE(УЧРЕЖДЕНИЯ!$A$12)</f>
        <v>спорт</v>
      </c>
      <c r="E385" s="92" t="s">
        <v>328</v>
      </c>
      <c r="F385" s="95">
        <v>211</v>
      </c>
      <c r="G385" s="95">
        <v>111</v>
      </c>
      <c r="H385" s="17" t="s">
        <v>188</v>
      </c>
      <c r="I385" s="93" t="str">
        <f>IF(OR(F385=152,F385=162,F385=510),IF((OR(LEFT(RIGHT(E385,13),1)={"A","D","E","F","G","I","L","N","P","R","S","T","V"})),"Ф",""),"")</f>
        <v/>
      </c>
    </row>
    <row r="386" spans="4:9" x14ac:dyDescent="0.3">
      <c r="D386" s="48" t="str">
        <f>CONCATENATE(УЧРЕЖДЕНИЯ!$A$12)</f>
        <v>спорт</v>
      </c>
      <c r="E386" s="92" t="s">
        <v>328</v>
      </c>
      <c r="F386" s="95">
        <v>266</v>
      </c>
      <c r="G386" s="95">
        <v>111</v>
      </c>
      <c r="H386" s="17" t="s">
        <v>188</v>
      </c>
      <c r="I386" s="93" t="str">
        <f>IF(OR(F386=152,F386=162,F386=510),IF((OR(LEFT(RIGHT(E386,13),1)={"A","D","E","F","G","I","L","N","P","R","S","T","V"})),"Ф",""),"")</f>
        <v/>
      </c>
    </row>
    <row r="387" spans="4:9" x14ac:dyDescent="0.3">
      <c r="D387" s="48" t="str">
        <f>CONCATENATE(УЧРЕЖДЕНИЯ!$A$12)</f>
        <v>спорт</v>
      </c>
      <c r="E387" s="92" t="s">
        <v>329</v>
      </c>
      <c r="F387" s="95">
        <v>212</v>
      </c>
      <c r="G387" s="95">
        <v>112</v>
      </c>
      <c r="H387" s="17" t="s">
        <v>188</v>
      </c>
      <c r="I387" s="93" t="str">
        <f>IF(OR(F387=152,F387=162,F387=510),IF((OR(LEFT(RIGHT(E387,13),1)={"A","D","E","F","G","I","L","N","P","R","S","T","V"})),"Ф",""),"")</f>
        <v/>
      </c>
    </row>
    <row r="388" spans="4:9" x14ac:dyDescent="0.3">
      <c r="D388" s="48" t="str">
        <f>CONCATENATE(УЧРЕЖДЕНИЯ!$A$12)</f>
        <v>спорт</v>
      </c>
      <c r="E388" s="92" t="s">
        <v>329</v>
      </c>
      <c r="F388" s="95">
        <v>266</v>
      </c>
      <c r="G388" s="95">
        <v>112</v>
      </c>
      <c r="H388" s="17" t="s">
        <v>188</v>
      </c>
      <c r="I388" s="93" t="str">
        <f>IF(OR(F388=152,F388=162,F388=510),IF((OR(LEFT(RIGHT(E388,13),1)={"A","D","E","F","G","I","L","N","P","R","S","T","V"})),"Ф",""),"")</f>
        <v/>
      </c>
    </row>
    <row r="389" spans="4:9" x14ac:dyDescent="0.3">
      <c r="D389" s="48" t="str">
        <f>CONCATENATE(УЧРЕЖДЕНИЯ!$A$12)</f>
        <v>спорт</v>
      </c>
      <c r="E389" s="92" t="s">
        <v>330</v>
      </c>
      <c r="F389" s="95">
        <v>213</v>
      </c>
      <c r="G389" s="95">
        <v>119</v>
      </c>
      <c r="H389" s="17" t="s">
        <v>188</v>
      </c>
      <c r="I389" s="93" t="str">
        <f>IF(OR(F389=152,F389=162,F389=510),IF((OR(LEFT(RIGHT(E389,13),1)={"A","D","E","F","G","I","L","N","P","R","S","T","V"})),"Ф",""),"")</f>
        <v/>
      </c>
    </row>
    <row r="390" spans="4:9" x14ac:dyDescent="0.3">
      <c r="D390" s="48" t="str">
        <f>CONCATENATE(УЧРЕЖДЕНИЯ!$A$12)</f>
        <v>спорт</v>
      </c>
      <c r="E390" s="92" t="s">
        <v>330</v>
      </c>
      <c r="F390" s="95">
        <v>267</v>
      </c>
      <c r="G390" s="95">
        <v>119</v>
      </c>
      <c r="H390" s="17" t="s">
        <v>188</v>
      </c>
      <c r="I390" s="93" t="str">
        <f>IF(OR(F390=152,F390=162,F390=510),IF((OR(LEFT(RIGHT(E390,13),1)={"A","D","E","F","G","I","L","N","P","R","S","T","V"})),"Ф",""),"")</f>
        <v/>
      </c>
    </row>
    <row r="391" spans="4:9" x14ac:dyDescent="0.3">
      <c r="D391" s="48" t="str">
        <f>CONCATENATE(УЧРЕЖДЕНИЯ!$A$12)</f>
        <v>спорт</v>
      </c>
      <c r="E391" s="92" t="s">
        <v>556</v>
      </c>
      <c r="F391" s="95">
        <v>189</v>
      </c>
      <c r="G391" s="95">
        <v>180</v>
      </c>
      <c r="H391" s="17" t="s">
        <v>188</v>
      </c>
      <c r="I391" s="93" t="str">
        <f>IF(OR(F391=152,F391=162,F391=510),IF((OR(LEFT(RIGHT(E391,13),1)={"A","D","E","F","G","I","L","N","P","R","S","T","V"})),"Ф",""),"")</f>
        <v/>
      </c>
    </row>
    <row r="392" spans="4:9" x14ac:dyDescent="0.3">
      <c r="D392" s="48" t="str">
        <f>CONCATENATE(УЧРЕЖДЕНИЯ!$A$12)</f>
        <v>спорт</v>
      </c>
      <c r="E392" s="92" t="s">
        <v>331</v>
      </c>
      <c r="F392" s="95">
        <v>221</v>
      </c>
      <c r="G392" s="95">
        <v>244</v>
      </c>
      <c r="H392" s="17" t="s">
        <v>188</v>
      </c>
      <c r="I392" s="93" t="str">
        <f>IF(OR(F392=152,F392=162,F392=510),IF((OR(LEFT(RIGHT(E392,13),1)={"A","D","E","F","G","I","L","N","P","R","S","T","V"})),"Ф",""),"")</f>
        <v/>
      </c>
    </row>
    <row r="393" spans="4:9" x14ac:dyDescent="0.3">
      <c r="D393" s="48" t="str">
        <f>CONCATENATE(УЧРЕЖДЕНИЯ!$A$12)</f>
        <v>спорт</v>
      </c>
      <c r="E393" s="92" t="s">
        <v>331</v>
      </c>
      <c r="F393" s="95">
        <v>222</v>
      </c>
      <c r="G393" s="95">
        <v>244</v>
      </c>
      <c r="H393" s="17" t="s">
        <v>188</v>
      </c>
      <c r="I393" s="93" t="str">
        <f>IF(OR(F393=152,F393=162,F393=510),IF((OR(LEFT(RIGHT(E393,13),1)={"A","D","E","F","G","I","L","N","P","R","S","T","V"})),"Ф",""),"")</f>
        <v/>
      </c>
    </row>
    <row r="394" spans="4:9" x14ac:dyDescent="0.3">
      <c r="D394" s="48" t="str">
        <f>CONCATENATE(УЧРЕЖДЕНИЯ!$A$12)</f>
        <v>спорт</v>
      </c>
      <c r="E394" s="92" t="s">
        <v>332</v>
      </c>
      <c r="F394" s="95">
        <v>2233</v>
      </c>
      <c r="G394" s="95">
        <v>244</v>
      </c>
      <c r="H394" s="17" t="s">
        <v>188</v>
      </c>
      <c r="I394" s="93" t="str">
        <f>IF(OR(F394=152,F394=162,F394=510),IF((OR(LEFT(RIGHT(E394,13),1)={"A","D","E","F","G","I","L","N","P","R","S","T","V"})),"Ф",""),"")</f>
        <v/>
      </c>
    </row>
    <row r="395" spans="4:9" x14ac:dyDescent="0.3">
      <c r="D395" s="48" t="str">
        <f>CONCATENATE(УЧРЕЖДЕНИЯ!$A$12)</f>
        <v>спорт</v>
      </c>
      <c r="E395" s="92" t="s">
        <v>331</v>
      </c>
      <c r="F395" s="95">
        <v>224</v>
      </c>
      <c r="G395" s="95">
        <v>244</v>
      </c>
      <c r="H395" s="17" t="s">
        <v>188</v>
      </c>
      <c r="I395" s="93" t="str">
        <f>IF(OR(F395=152,F395=162,F395=510),IF((OR(LEFT(RIGHT(E395,13),1)={"A","D","E","F","G","I","L","N","P","R","S","T","V"})),"Ф",""),"")</f>
        <v/>
      </c>
    </row>
    <row r="396" spans="4:9" x14ac:dyDescent="0.3">
      <c r="D396" s="48" t="str">
        <f>CONCATENATE(УЧРЕЖДЕНИЯ!$A$12)</f>
        <v>спорт</v>
      </c>
      <c r="E396" s="92" t="s">
        <v>331</v>
      </c>
      <c r="F396" s="95">
        <v>225</v>
      </c>
      <c r="G396" s="95">
        <v>244</v>
      </c>
      <c r="H396" s="17" t="s">
        <v>188</v>
      </c>
      <c r="I396" s="93" t="str">
        <f>IF(OR(F396=152,F396=162,F396=510),IF((OR(LEFT(RIGHT(E396,13),1)={"A","D","E","F","G","I","L","N","P","R","S","T","V"})),"Ф",""),"")</f>
        <v/>
      </c>
    </row>
    <row r="397" spans="4:9" x14ac:dyDescent="0.3">
      <c r="D397" s="48" t="str">
        <f>CONCATENATE(УЧРЕЖДЕНИЯ!$A$12)</f>
        <v>спорт</v>
      </c>
      <c r="E397" s="92" t="s">
        <v>331</v>
      </c>
      <c r="F397" s="95">
        <v>226</v>
      </c>
      <c r="G397" s="95">
        <v>244</v>
      </c>
      <c r="H397" s="17" t="s">
        <v>188</v>
      </c>
      <c r="I397" s="93" t="str">
        <f>IF(OR(F397=152,F397=162,F397=510),IF((OR(LEFT(RIGHT(E397,13),1)={"A","D","E","F","G","I","L","N","P","R","S","T","V"})),"Ф",""),"")</f>
        <v/>
      </c>
    </row>
    <row r="398" spans="4:9" x14ac:dyDescent="0.3">
      <c r="D398" s="48" t="str">
        <f>CONCATENATE(УЧРЕЖДЕНИЯ!$A$12)</f>
        <v>спорт</v>
      </c>
      <c r="E398" s="92" t="s">
        <v>331</v>
      </c>
      <c r="F398" s="95">
        <v>228</v>
      </c>
      <c r="G398" s="95">
        <v>244</v>
      </c>
      <c r="H398" s="17" t="s">
        <v>188</v>
      </c>
      <c r="I398" s="93" t="str">
        <f>IF(OR(F398=152,F398=162,F398=510),IF((OR(LEFT(RIGHT(E398,13),1)={"A","D","E","F","G","I","L","N","P","R","S","T","V"})),"Ф",""),"")</f>
        <v/>
      </c>
    </row>
    <row r="399" spans="4:9" x14ac:dyDescent="0.3">
      <c r="D399" s="48" t="str">
        <f>CONCATENATE(УЧРЕЖДЕНИЯ!$A$12)</f>
        <v>спорт</v>
      </c>
      <c r="E399" s="92" t="s">
        <v>331</v>
      </c>
      <c r="F399" s="95">
        <v>310</v>
      </c>
      <c r="G399" s="95">
        <v>244</v>
      </c>
      <c r="H399" s="17" t="s">
        <v>188</v>
      </c>
      <c r="I399" s="93" t="str">
        <f>IF(OR(F399=152,F399=162,F399=510),IF((OR(LEFT(RIGHT(E399,13),1)={"A","D","E","F","G","I","L","N","P","R","S","T","V"})),"Ф",""),"")</f>
        <v/>
      </c>
    </row>
    <row r="400" spans="4:9" x14ac:dyDescent="0.3">
      <c r="D400" s="48" t="str">
        <f>CONCATENATE(УЧРЕЖДЕНИЯ!$A$12)</f>
        <v>спорт</v>
      </c>
      <c r="E400" s="92" t="s">
        <v>331</v>
      </c>
      <c r="F400" s="95">
        <v>342</v>
      </c>
      <c r="G400" s="95">
        <v>244</v>
      </c>
      <c r="H400" s="17" t="s">
        <v>188</v>
      </c>
      <c r="I400" s="93" t="str">
        <f>IF(OR(F400=152,F400=162,F400=510),IF((OR(LEFT(RIGHT(E400,13),1)={"A","D","E","F","G","I","L","N","P","R","S","T","V"})),"Ф",""),"")</f>
        <v/>
      </c>
    </row>
    <row r="401" spans="4:9" x14ac:dyDescent="0.3">
      <c r="D401" s="48" t="str">
        <f>CONCATENATE(УЧРЕЖДЕНИЯ!$A$12)</f>
        <v>спорт</v>
      </c>
      <c r="E401" s="92" t="s">
        <v>331</v>
      </c>
      <c r="F401" s="95">
        <v>343</v>
      </c>
      <c r="G401" s="95">
        <v>244</v>
      </c>
      <c r="H401" s="17" t="s">
        <v>188</v>
      </c>
      <c r="I401" s="93" t="str">
        <f>IF(OR(F401=152,F401=162,F401=510),IF((OR(LEFT(RIGHT(E401,13),1)={"A","D","E","F","G","I","L","N","P","R","S","T","V"})),"Ф",""),"")</f>
        <v/>
      </c>
    </row>
    <row r="402" spans="4:9" x14ac:dyDescent="0.3">
      <c r="D402" s="48" t="str">
        <f>CONCATENATE(УЧРЕЖДЕНИЯ!$A$12)</f>
        <v>спорт</v>
      </c>
      <c r="E402" s="92" t="s">
        <v>331</v>
      </c>
      <c r="F402" s="95">
        <v>344</v>
      </c>
      <c r="G402" s="95">
        <v>244</v>
      </c>
      <c r="H402" s="17" t="s">
        <v>188</v>
      </c>
      <c r="I402" s="93" t="str">
        <f>IF(OR(F402=152,F402=162,F402=510),IF((OR(LEFT(RIGHT(E402,13),1)={"A","D","E","F","G","I","L","N","P","R","S","T","V"})),"Ф",""),"")</f>
        <v/>
      </c>
    </row>
    <row r="403" spans="4:9" x14ac:dyDescent="0.3">
      <c r="D403" s="48" t="str">
        <f>CONCATENATE(УЧРЕЖДЕНИЯ!$A$12)</f>
        <v>спорт</v>
      </c>
      <c r="E403" s="92" t="s">
        <v>331</v>
      </c>
      <c r="F403" s="95">
        <v>345</v>
      </c>
      <c r="G403" s="95">
        <v>244</v>
      </c>
      <c r="H403" s="17" t="s">
        <v>188</v>
      </c>
      <c r="I403" s="93" t="str">
        <f>IF(OR(F403=152,F403=162,F403=510),IF((OR(LEFT(RIGHT(E403,13),1)={"A","D","E","F","G","I","L","N","P","R","S","T","V"})),"Ф",""),"")</f>
        <v/>
      </c>
    </row>
    <row r="404" spans="4:9" x14ac:dyDescent="0.3">
      <c r="D404" s="48" t="str">
        <f>CONCATENATE(УЧРЕЖДЕНИЯ!$A$12)</f>
        <v>спорт</v>
      </c>
      <c r="E404" s="92" t="s">
        <v>331</v>
      </c>
      <c r="F404" s="95">
        <v>346</v>
      </c>
      <c r="G404" s="95">
        <v>244</v>
      </c>
      <c r="H404" s="17" t="s">
        <v>188</v>
      </c>
      <c r="I404" s="93" t="str">
        <f>IF(OR(F404=152,F404=162,F404=510),IF((OR(LEFT(RIGHT(E404,13),1)={"A","D","E","F","G","I","L","N","P","R","S","T","V"})),"Ф",""),"")</f>
        <v/>
      </c>
    </row>
    <row r="405" spans="4:9" x14ac:dyDescent="0.3">
      <c r="D405" s="48" t="str">
        <f>CONCATENATE(УЧРЕЖДЕНИЯ!$A$12)</f>
        <v>спорт</v>
      </c>
      <c r="E405" s="92" t="s">
        <v>331</v>
      </c>
      <c r="F405" s="95">
        <v>349</v>
      </c>
      <c r="G405" s="95">
        <v>244</v>
      </c>
      <c r="H405" s="17" t="s">
        <v>188</v>
      </c>
      <c r="I405" s="93" t="str">
        <f>IF(OR(F405=152,F405=162,F405=510),IF((OR(LEFT(RIGHT(E405,13),1)={"A","D","E","F","G","I","L","N","P","R","S","T","V"})),"Ф",""),"")</f>
        <v/>
      </c>
    </row>
    <row r="406" spans="4:9" x14ac:dyDescent="0.3">
      <c r="D406" s="48" t="str">
        <f>CONCATENATE(УЧРЕЖДЕНИЯ!$A$12)</f>
        <v>спорт</v>
      </c>
      <c r="E406" s="92" t="s">
        <v>651</v>
      </c>
      <c r="F406" s="95">
        <v>2231</v>
      </c>
      <c r="G406" s="95">
        <v>247</v>
      </c>
      <c r="H406" s="17" t="s">
        <v>188</v>
      </c>
      <c r="I406" s="93" t="str">
        <f>IF(OR(F406=152,F406=162,F406=510),IF((OR(LEFT(RIGHT(E406,13),1)={"A","D","E","F","G","I","L","N","P","R","S","T","V"})),"Ф",""),"")</f>
        <v/>
      </c>
    </row>
    <row r="407" spans="4:9" x14ac:dyDescent="0.3">
      <c r="D407" s="48" t="str">
        <f>CONCATENATE(УЧРЕЖДЕНИЯ!$A$12)</f>
        <v>спорт</v>
      </c>
      <c r="E407" s="92" t="s">
        <v>663</v>
      </c>
      <c r="F407" s="95">
        <v>2232</v>
      </c>
      <c r="G407" s="95">
        <v>247</v>
      </c>
      <c r="H407" s="17" t="s">
        <v>188</v>
      </c>
      <c r="I407" s="93" t="str">
        <f>IF(OR(F407=152,F407=162,F407=510),IF((OR(LEFT(RIGHT(E407,13),1)={"A","D","E","F","G","I","L","N","P","R","S","T","V"})),"Ф",""),"")</f>
        <v/>
      </c>
    </row>
    <row r="408" spans="4:9" x14ac:dyDescent="0.3">
      <c r="D408" s="48" t="str">
        <f>CONCATENATE(УЧРЕЖДЕНИЯ!$A$12)</f>
        <v>спорт</v>
      </c>
      <c r="E408" s="92" t="s">
        <v>333</v>
      </c>
      <c r="F408" s="95">
        <v>262</v>
      </c>
      <c r="G408" s="95">
        <v>360</v>
      </c>
      <c r="H408" s="17" t="s">
        <v>188</v>
      </c>
      <c r="I408" s="93" t="str">
        <f>IF(OR(F408=152,F408=162,F408=510),IF((OR(LEFT(RIGHT(E408,13),1)={"A","D","E","F","G","I","L","N","P","R","S","T","V"})),"Ф",""),"")</f>
        <v/>
      </c>
    </row>
    <row r="409" spans="4:9" x14ac:dyDescent="0.3">
      <c r="D409" s="48" t="str">
        <f>CONCATENATE(УЧРЕЖДЕНИЯ!$A$12)</f>
        <v>спорт</v>
      </c>
      <c r="E409" s="92" t="s">
        <v>326</v>
      </c>
      <c r="F409" s="95">
        <v>510</v>
      </c>
      <c r="G409" s="95">
        <v>510</v>
      </c>
      <c r="H409" s="17" t="s">
        <v>188</v>
      </c>
      <c r="I409" s="93" t="str">
        <f>IF(OR(F409=152,F409=162,F409=510),IF((OR(LEFT(RIGHT(E409,13),1)={"A","D","E","F","G","I","L","N","P","R","S","T","V"})),"Ф",""),"")</f>
        <v/>
      </c>
    </row>
    <row r="410" spans="4:9" x14ac:dyDescent="0.3">
      <c r="D410" s="48" t="str">
        <f>CONCATENATE(УЧРЕЖДЕНИЯ!$A$12)</f>
        <v>спорт</v>
      </c>
      <c r="E410" s="92" t="s">
        <v>335</v>
      </c>
      <c r="F410" s="95">
        <v>291</v>
      </c>
      <c r="G410" s="95">
        <v>852</v>
      </c>
      <c r="H410" s="17" t="s">
        <v>188</v>
      </c>
      <c r="I410" s="93" t="str">
        <f>IF(OR(F410=152,F410=162,F410=510),IF((OR(LEFT(RIGHT(E410,13),1)={"A","D","E","F","G","I","L","N","P","R","S","T","V"})),"Ф",""),"")</f>
        <v/>
      </c>
    </row>
    <row r="411" spans="4:9" x14ac:dyDescent="0.3">
      <c r="D411" s="48" t="str">
        <f>CONCATENATE(УЧРЕЖДЕНИЯ!$A$12)</f>
        <v>спорт</v>
      </c>
      <c r="E411" s="92" t="s">
        <v>336</v>
      </c>
      <c r="F411" s="95">
        <v>292</v>
      </c>
      <c r="G411" s="95">
        <v>853</v>
      </c>
      <c r="H411" s="17" t="s">
        <v>188</v>
      </c>
      <c r="I411" s="93" t="str">
        <f>IF(OR(F411=152,F411=162,F411=510),IF((OR(LEFT(RIGHT(E411,13),1)={"A","D","E","F","G","I","L","N","P","R","S","T","V"})),"Ф",""),"")</f>
        <v/>
      </c>
    </row>
    <row r="412" spans="4:9" x14ac:dyDescent="0.3">
      <c r="D412" s="48" t="str">
        <f>CONCATENATE(УЧРЕЖДЕНИЯ!$A$12)</f>
        <v>спорт</v>
      </c>
      <c r="E412" s="92" t="s">
        <v>319</v>
      </c>
      <c r="F412" s="95">
        <v>135</v>
      </c>
      <c r="G412" s="95">
        <v>130</v>
      </c>
      <c r="H412" s="17" t="s">
        <v>188</v>
      </c>
      <c r="I412" s="93" t="str">
        <f>IF(OR(F412=152,F412=162,F412=510),IF((OR(LEFT(RIGHT(E412,13),1)={"A","D","E","F","G","I","L","N","P","R","S","T","V"})),"Ф",""),"")</f>
        <v/>
      </c>
    </row>
    <row r="413" spans="4:9" x14ac:dyDescent="0.3">
      <c r="D413" s="48" t="str">
        <f>CONCATENATE(УЧРЕЖДЕНИЯ!$A$12)</f>
        <v>спорт</v>
      </c>
      <c r="E413" s="92" t="s">
        <v>653</v>
      </c>
      <c r="F413" s="95">
        <v>2231</v>
      </c>
      <c r="G413" s="95">
        <v>247</v>
      </c>
      <c r="H413" s="17" t="s">
        <v>188</v>
      </c>
      <c r="I413" s="93" t="str">
        <f>IF(OR(F413=152,F413=162,F413=510),IF((OR(LEFT(RIGHT(E413,13),1)={"A","D","E","F","G","I","L","N","P","R","S","T","V"})),"Ф",""),"")</f>
        <v/>
      </c>
    </row>
    <row r="414" spans="4:9" x14ac:dyDescent="0.3">
      <c r="D414" s="48" t="str">
        <f>CONCATENATE(УЧРЕЖДЕНИЯ!$A$12)</f>
        <v>спорт</v>
      </c>
      <c r="E414" s="92" t="s">
        <v>817</v>
      </c>
      <c r="F414" s="95">
        <v>143</v>
      </c>
      <c r="G414" s="95">
        <v>140</v>
      </c>
      <c r="H414" s="17" t="s">
        <v>188</v>
      </c>
      <c r="I414" s="93" t="str">
        <f>IF(OR(F414=152,F414=162,F414=510),IF((OR(LEFT(RIGHT(E414,13),1)={"A","D","E","F","G","I","L","N","P","R","S","T","V"})),"Ф",""),"")</f>
        <v/>
      </c>
    </row>
    <row r="415" spans="4:9" x14ac:dyDescent="0.3">
      <c r="D415" s="48" t="str">
        <f>CONCATENATE(УЧРЕЖДЕНИЯ!$A$12)</f>
        <v>спорт</v>
      </c>
      <c r="E415" s="92" t="s">
        <v>818</v>
      </c>
      <c r="F415" s="95">
        <v>225</v>
      </c>
      <c r="G415" s="95">
        <v>244</v>
      </c>
      <c r="H415" s="17" t="s">
        <v>188</v>
      </c>
      <c r="I415" s="93" t="str">
        <f>IF(OR(F415=152,F415=162,F415=510),IF((OR(LEFT(RIGHT(E415,13),1)={"A","D","E","F","G","I","L","N","P","R","S","T","V"})),"Ф",""),"")</f>
        <v/>
      </c>
    </row>
    <row r="416" spans="4:9" x14ac:dyDescent="0.3">
      <c r="D416" s="48" t="str">
        <f>CONCATENATE(УЧРЕЖДЕНИЯ!$A$12)</f>
        <v>спорт</v>
      </c>
      <c r="E416" s="92" t="s">
        <v>343</v>
      </c>
      <c r="F416" s="95">
        <v>155</v>
      </c>
      <c r="G416" s="95">
        <v>150</v>
      </c>
      <c r="H416" s="17" t="s">
        <v>188</v>
      </c>
      <c r="I416" s="93" t="str">
        <f>IF(OR(F416=152,F416=162,F416=510),IF((OR(LEFT(RIGHT(E416,13),1)={"A","D","E","F","G","I","L","N","P","R","S","T","V"})),"Ф",""),"")</f>
        <v/>
      </c>
    </row>
    <row r="417" spans="1:9" x14ac:dyDescent="0.3">
      <c r="D417" s="48" t="str">
        <f>CONCATENATE(УЧРЕЖДЕНИЯ!$A$12)</f>
        <v>спорт</v>
      </c>
      <c r="E417" s="92" t="s">
        <v>344</v>
      </c>
      <c r="F417" s="93">
        <v>225</v>
      </c>
      <c r="G417" s="93">
        <v>244</v>
      </c>
      <c r="H417" s="17" t="s">
        <v>188</v>
      </c>
      <c r="I417" s="93" t="str">
        <f>IF(OR(F417=152,F417=162,F417=510),IF((OR(LEFT(RIGHT(E417,13),1)={"A","D","E","F","G","I","L","N","P","R","S","T","V"})),"Ф",""),"")</f>
        <v/>
      </c>
    </row>
    <row r="418" spans="1:9" x14ac:dyDescent="0.3">
      <c r="D418" s="48" t="str">
        <f>CONCATENATE(УЧРЕЖДЕНИЯ!$A$12)</f>
        <v>спорт</v>
      </c>
      <c r="E418" s="92" t="s">
        <v>344</v>
      </c>
      <c r="F418" s="93">
        <v>226</v>
      </c>
      <c r="G418" s="93">
        <v>244</v>
      </c>
      <c r="H418" s="17" t="s">
        <v>188</v>
      </c>
      <c r="I418" s="93" t="str">
        <f>IF(OR(F418=152,F418=162,F418=510),IF((OR(LEFT(RIGHT(E418,13),1)={"A","D","E","F","G","I","L","N","P","R","S","T","V"})),"Ф",""),"")</f>
        <v/>
      </c>
    </row>
    <row r="419" spans="1:9" x14ac:dyDescent="0.3">
      <c r="D419" s="48" t="str">
        <f>CONCATENATE(УЧРЕЖДЕНИЯ!$A$12)</f>
        <v>спорт</v>
      </c>
      <c r="E419" s="92" t="s">
        <v>344</v>
      </c>
      <c r="F419" s="93">
        <v>310</v>
      </c>
      <c r="G419" s="93">
        <v>244</v>
      </c>
      <c r="H419" s="17" t="s">
        <v>188</v>
      </c>
      <c r="I419" s="93" t="str">
        <f>IF(OR(F419=152,F419=162,F419=510),IF((OR(LEFT(RIGHT(E419,13),1)={"A","D","E","F","G","I","L","N","P","R","S","T","V"})),"Ф",""),"")</f>
        <v/>
      </c>
    </row>
    <row r="420" spans="1:9" x14ac:dyDescent="0.3">
      <c r="D420" s="48" t="str">
        <f>CONCATENATE(УЧРЕЖДЕНИЯ!$A$12)</f>
        <v>спорт</v>
      </c>
      <c r="E420" s="92" t="s">
        <v>342</v>
      </c>
      <c r="F420" s="95">
        <v>510</v>
      </c>
      <c r="G420" s="95">
        <v>510</v>
      </c>
      <c r="H420" s="17" t="s">
        <v>188</v>
      </c>
      <c r="I420" s="93" t="str">
        <f>IF(OR(F420=152,F420=162,F420=510),IF((OR(LEFT(RIGHT(E420,13),1)={"A","D","E","F","G","I","L","N","P","R","S","T","V"})),"Ф",""),"")</f>
        <v/>
      </c>
    </row>
    <row r="421" spans="1:9" x14ac:dyDescent="0.3">
      <c r="A421" s="48">
        <f>ROW()</f>
        <v>421</v>
      </c>
      <c r="B421" s="48" t="s">
        <v>707</v>
      </c>
      <c r="C421" s="48" t="s">
        <v>704</v>
      </c>
      <c r="D421" s="48" t="str">
        <f>CONCATENATE(УЧРЕЖДЕНИЯ!$A$3)</f>
        <v>Детсад</v>
      </c>
      <c r="E421" s="92" t="s">
        <v>351</v>
      </c>
      <c r="F421" s="93">
        <v>131</v>
      </c>
      <c r="G421" s="93">
        <v>130</v>
      </c>
      <c r="H421" s="17" t="s">
        <v>181</v>
      </c>
      <c r="I421" s="93" t="str">
        <f>IF(OR(F421=152,F421=162,F421=510),IF((OR(LEFT(RIGHT(E421,13),1)={"A","D","E","F","G","I","L","N","P","R","S","T","V"})),"Ф",""),"")</f>
        <v/>
      </c>
    </row>
    <row r="422" spans="1:9" x14ac:dyDescent="0.3">
      <c r="D422" s="48" t="str">
        <f>CONCATENATE(УЧРЕЖДЕНИЯ!$A$3)</f>
        <v>Детсад</v>
      </c>
      <c r="E422" s="92" t="s">
        <v>352</v>
      </c>
      <c r="F422" s="93">
        <v>211</v>
      </c>
      <c r="G422" s="93">
        <v>111</v>
      </c>
      <c r="H422" s="17" t="s">
        <v>181</v>
      </c>
      <c r="I422" s="93" t="str">
        <f>IF(OR(F422=152,F422=162,F422=510),IF((OR(LEFT(RIGHT(E422,13),1)={"A","D","E","F","G","I","L","N","P","R","S","T","V"})),"Ф",""),"")</f>
        <v/>
      </c>
    </row>
    <row r="423" spans="1:9" x14ac:dyDescent="0.3">
      <c r="D423" s="48" t="str">
        <f>CONCATENATE(УЧРЕЖДЕНИЯ!$A$3)</f>
        <v>Детсад</v>
      </c>
      <c r="E423" s="92" t="s">
        <v>352</v>
      </c>
      <c r="F423" s="93">
        <v>266</v>
      </c>
      <c r="G423" s="93">
        <v>111</v>
      </c>
      <c r="H423" s="17" t="s">
        <v>181</v>
      </c>
      <c r="I423" s="93" t="str">
        <f>IF(OR(F423=152,F423=162,F423=510),IF((OR(LEFT(RIGHT(E423,13),1)={"A","D","E","F","G","I","L","N","P","R","S","T","V"})),"Ф",""),"")</f>
        <v/>
      </c>
    </row>
    <row r="424" spans="1:9" x14ac:dyDescent="0.3">
      <c r="D424" s="48" t="str">
        <f>CONCATENATE(УЧРЕЖДЕНИЯ!$A$3)</f>
        <v>Детсад</v>
      </c>
      <c r="E424" s="92" t="s">
        <v>353</v>
      </c>
      <c r="F424" s="93">
        <v>212</v>
      </c>
      <c r="G424" s="93">
        <v>112</v>
      </c>
      <c r="H424" s="17" t="s">
        <v>181</v>
      </c>
      <c r="I424" s="93" t="str">
        <f>IF(OR(F424=152,F424=162,F424=510),IF((OR(LEFT(RIGHT(E424,13),1)={"A","D","E","F","G","I","L","N","P","R","S","T","V"})),"Ф",""),"")</f>
        <v/>
      </c>
    </row>
    <row r="425" spans="1:9" x14ac:dyDescent="0.3">
      <c r="D425" s="48" t="str">
        <f>CONCATENATE(УЧРЕЖДЕНИЯ!$A$3)</f>
        <v>Детсад</v>
      </c>
      <c r="E425" s="92" t="s">
        <v>353</v>
      </c>
      <c r="F425" s="93">
        <v>226</v>
      </c>
      <c r="G425" s="93">
        <v>112</v>
      </c>
      <c r="H425" s="17" t="s">
        <v>181</v>
      </c>
      <c r="I425" s="93" t="str">
        <f>IF(OR(F425=152,F425=162,F425=510),IF((OR(LEFT(RIGHT(E425,13),1)={"A","D","E","F","G","I","L","N","P","R","S","T","V"})),"Ф",""),"")</f>
        <v/>
      </c>
    </row>
    <row r="426" spans="1:9" x14ac:dyDescent="0.3">
      <c r="D426" s="48" t="str">
        <f>CONCATENATE(УЧРЕЖДЕНИЯ!$A$3)</f>
        <v>Детсад</v>
      </c>
      <c r="E426" s="92" t="s">
        <v>353</v>
      </c>
      <c r="F426" s="93">
        <v>262</v>
      </c>
      <c r="G426" s="93">
        <v>112</v>
      </c>
      <c r="H426" s="17" t="s">
        <v>181</v>
      </c>
      <c r="I426" s="93" t="str">
        <f>IF(OR(F426=152,F426=162,F426=510),IF((OR(LEFT(RIGHT(E426,13),1)={"A","D","E","F","G","I","L","N","P","R","S","T","V"})),"Ф",""),"")</f>
        <v/>
      </c>
    </row>
    <row r="427" spans="1:9" x14ac:dyDescent="0.3">
      <c r="D427" s="48" t="str">
        <f>CONCATENATE(УЧРЕЖДЕНИЯ!$A$3)</f>
        <v>Детсад</v>
      </c>
      <c r="E427" s="92" t="s">
        <v>353</v>
      </c>
      <c r="F427" s="93">
        <v>266</v>
      </c>
      <c r="G427" s="93">
        <v>112</v>
      </c>
      <c r="H427" s="17" t="s">
        <v>181</v>
      </c>
      <c r="I427" s="93" t="str">
        <f>IF(OR(F427=152,F427=162,F427=510),IF((OR(LEFT(RIGHT(E427,13),1)={"A","D","E","F","G","I","L","N","P","R","S","T","V"})),"Ф",""),"")</f>
        <v/>
      </c>
    </row>
    <row r="428" spans="1:9" x14ac:dyDescent="0.3">
      <c r="D428" s="48" t="str">
        <f>CONCATENATE(УЧРЕЖДЕНИЯ!$A$3)</f>
        <v>Детсад</v>
      </c>
      <c r="E428" s="92" t="s">
        <v>353</v>
      </c>
      <c r="F428" s="93">
        <v>267</v>
      </c>
      <c r="G428" s="93">
        <v>112</v>
      </c>
      <c r="H428" s="17" t="s">
        <v>181</v>
      </c>
      <c r="I428" s="93" t="str">
        <f>IF(OR(F428=152,F428=162,F428=510),IF((OR(LEFT(RIGHT(E428,13),1)={"A","D","E","F","G","I","L","N","P","R","S","T","V"})),"Ф",""),"")</f>
        <v/>
      </c>
    </row>
    <row r="429" spans="1:9" x14ac:dyDescent="0.3">
      <c r="D429" s="48" t="str">
        <f>CONCATENATE(УЧРЕЖДЕНИЯ!$A$3)</f>
        <v>Детсад</v>
      </c>
      <c r="E429" s="92" t="s">
        <v>354</v>
      </c>
      <c r="F429" s="93">
        <v>296</v>
      </c>
      <c r="G429" s="93">
        <v>113</v>
      </c>
      <c r="H429" s="17" t="s">
        <v>181</v>
      </c>
      <c r="I429" s="93" t="str">
        <f>IF(OR(F429=152,F429=162,F429=510),IF((OR(LEFT(RIGHT(E429,13),1)={"A","D","E","F","G","I","L","N","P","R","S","T","V"})),"Ф",""),"")</f>
        <v/>
      </c>
    </row>
    <row r="430" spans="1:9" x14ac:dyDescent="0.3">
      <c r="D430" s="48" t="str">
        <f>CONCATENATE(УЧРЕЖДЕНИЯ!$A$3)</f>
        <v>Детсад</v>
      </c>
      <c r="E430" s="92" t="s">
        <v>355</v>
      </c>
      <c r="F430" s="93">
        <v>213</v>
      </c>
      <c r="G430" s="93">
        <v>119</v>
      </c>
      <c r="H430" s="17" t="s">
        <v>181</v>
      </c>
      <c r="I430" s="93" t="str">
        <f>IF(OR(F430=152,F430=162,F430=510),IF((OR(LEFT(RIGHT(E430,13),1)={"A","D","E","F","G","I","L","N","P","R","S","T","V"})),"Ф",""),"")</f>
        <v/>
      </c>
    </row>
    <row r="431" spans="1:9" x14ac:dyDescent="0.3">
      <c r="D431" s="48" t="str">
        <f>CONCATENATE(УЧРЕЖДЕНИЯ!$A$3)</f>
        <v>Детсад</v>
      </c>
      <c r="E431" s="92" t="s">
        <v>557</v>
      </c>
      <c r="F431" s="93">
        <v>225</v>
      </c>
      <c r="G431" s="93">
        <v>243</v>
      </c>
      <c r="H431" s="17" t="s">
        <v>181</v>
      </c>
      <c r="I431" s="93" t="str">
        <f>IF(OR(F431=152,F431=162,F431=510),IF((OR(LEFT(RIGHT(E431,13),1)={"A","D","E","F","G","I","L","N","P","R","S","T","V"})),"Ф",""),"")</f>
        <v/>
      </c>
    </row>
    <row r="432" spans="1:9" x14ac:dyDescent="0.3">
      <c r="D432" s="48" t="str">
        <f>CONCATENATE(УЧРЕЖДЕНИЯ!$A$3)</f>
        <v>Детсад</v>
      </c>
      <c r="E432" s="92" t="s">
        <v>557</v>
      </c>
      <c r="F432" s="93">
        <v>226</v>
      </c>
      <c r="G432" s="93">
        <v>243</v>
      </c>
      <c r="H432" s="17" t="s">
        <v>181</v>
      </c>
      <c r="I432" s="93" t="str">
        <f>IF(OR(F432=152,F432=162,F432=510),IF((OR(LEFT(RIGHT(E432,13),1)={"A","D","E","F","G","I","L","N","P","R","S","T","V"})),"Ф",""),"")</f>
        <v/>
      </c>
    </row>
    <row r="433" spans="4:9" x14ac:dyDescent="0.3">
      <c r="D433" s="48" t="str">
        <f>CONCATENATE(УЧРЕЖДЕНИЯ!$A$3)</f>
        <v>Детсад</v>
      </c>
      <c r="E433" s="92" t="s">
        <v>356</v>
      </c>
      <c r="F433" s="93">
        <v>221</v>
      </c>
      <c r="G433" s="93">
        <v>244</v>
      </c>
      <c r="H433" s="17" t="s">
        <v>181</v>
      </c>
      <c r="I433" s="93" t="str">
        <f>IF(OR(F433=152,F433=162,F433=510),IF((OR(LEFT(RIGHT(E433,13),1)={"A","D","E","F","G","I","L","N","P","R","S","T","V"})),"Ф",""),"")</f>
        <v/>
      </c>
    </row>
    <row r="434" spans="4:9" x14ac:dyDescent="0.3">
      <c r="D434" s="48" t="str">
        <f>CONCATENATE(УЧРЕЖДЕНИЯ!$A$3)</f>
        <v>Детсад</v>
      </c>
      <c r="E434" s="92" t="s">
        <v>356</v>
      </c>
      <c r="F434" s="93">
        <v>222</v>
      </c>
      <c r="G434" s="93">
        <v>244</v>
      </c>
      <c r="H434" s="17" t="s">
        <v>181</v>
      </c>
      <c r="I434" s="93" t="str">
        <f>IF(OR(F434=152,F434=162,F434=510),IF((OR(LEFT(RIGHT(E434,13),1)={"A","D","E","F","G","I","L","N","P","R","S","T","V"})),"Ф",""),"")</f>
        <v/>
      </c>
    </row>
    <row r="435" spans="4:9" x14ac:dyDescent="0.3">
      <c r="D435" s="48" t="str">
        <f>CONCATENATE(УЧРЕЖДЕНИЯ!$A$3)</f>
        <v>Детсад</v>
      </c>
      <c r="E435" s="92" t="s">
        <v>801</v>
      </c>
      <c r="F435" s="93">
        <v>2232</v>
      </c>
      <c r="G435" s="93">
        <v>244</v>
      </c>
      <c r="H435" s="17" t="s">
        <v>181</v>
      </c>
      <c r="I435" s="93" t="str">
        <f>IF(OR(F435=152,F435=162,F435=510),IF((OR(LEFT(RIGHT(E435,13),1)={"A","D","E","F","G","I","L","N","P","R","S","T","V"})),"Ф",""),"")</f>
        <v/>
      </c>
    </row>
    <row r="436" spans="4:9" x14ac:dyDescent="0.3">
      <c r="D436" s="48" t="str">
        <f>CONCATENATE(УЧРЕЖДЕНИЯ!$A$3)</f>
        <v>Детсад</v>
      </c>
      <c r="E436" s="92" t="s">
        <v>357</v>
      </c>
      <c r="F436" s="93">
        <v>2233</v>
      </c>
      <c r="G436" s="93">
        <v>244</v>
      </c>
      <c r="H436" s="17" t="s">
        <v>181</v>
      </c>
      <c r="I436" s="93" t="str">
        <f>IF(OR(F436=152,F436=162,F436=510),IF((OR(LEFT(RIGHT(E436,13),1)={"A","D","E","F","G","I","L","N","P","R","S","T","V"})),"Ф",""),"")</f>
        <v/>
      </c>
    </row>
    <row r="437" spans="4:9" x14ac:dyDescent="0.3">
      <c r="D437" s="48" t="str">
        <f>CONCATENATE(УЧРЕЖДЕНИЯ!$A$3)</f>
        <v>Детсад</v>
      </c>
      <c r="E437" s="92" t="s">
        <v>637</v>
      </c>
      <c r="F437" s="93">
        <v>2234</v>
      </c>
      <c r="G437" s="93">
        <v>244</v>
      </c>
      <c r="H437" s="17" t="s">
        <v>181</v>
      </c>
      <c r="I437" s="93" t="str">
        <f>IF(OR(F437=152,F437=162,F437=510),IF((OR(LEFT(RIGHT(E437,13),1)={"A","D","E","F","G","I","L","N","P","R","S","T","V"})),"Ф",""),"")</f>
        <v/>
      </c>
    </row>
    <row r="438" spans="4:9" x14ac:dyDescent="0.3">
      <c r="D438" s="48" t="str">
        <f>CONCATENATE(УЧРЕЖДЕНИЯ!$A$3)</f>
        <v>Детсад</v>
      </c>
      <c r="E438" s="92" t="s">
        <v>356</v>
      </c>
      <c r="F438" s="93">
        <v>225</v>
      </c>
      <c r="G438" s="93">
        <v>244</v>
      </c>
      <c r="H438" s="17" t="s">
        <v>181</v>
      </c>
      <c r="I438" s="93" t="str">
        <f>IF(OR(F438=152,F438=162,F438=510),IF((OR(LEFT(RIGHT(E438,13),1)={"A","D","E","F","G","I","L","N","P","R","S","T","V"})),"Ф",""),"")</f>
        <v/>
      </c>
    </row>
    <row r="439" spans="4:9" x14ac:dyDescent="0.3">
      <c r="D439" s="48" t="str">
        <f>CONCATENATE(УЧРЕЖДЕНИЯ!$A$3)</f>
        <v>Детсад</v>
      </c>
      <c r="E439" s="92" t="s">
        <v>356</v>
      </c>
      <c r="F439" s="93">
        <v>226</v>
      </c>
      <c r="G439" s="93">
        <v>244</v>
      </c>
      <c r="H439" s="17" t="s">
        <v>181</v>
      </c>
      <c r="I439" s="93" t="str">
        <f>IF(OR(F439=152,F439=162,F439=510),IF((OR(LEFT(RIGHT(E439,13),1)={"A","D","E","F","G","I","L","N","P","R","S","T","V"})),"Ф",""),"")</f>
        <v/>
      </c>
    </row>
    <row r="440" spans="4:9" x14ac:dyDescent="0.3">
      <c r="D440" s="48" t="str">
        <f>CONCATENATE(УЧРЕЖДЕНИЯ!$A$3)</f>
        <v>Детсад</v>
      </c>
      <c r="E440" s="92" t="s">
        <v>356</v>
      </c>
      <c r="F440" s="93">
        <v>228</v>
      </c>
      <c r="G440" s="93">
        <v>244</v>
      </c>
      <c r="H440" s="17" t="s">
        <v>181</v>
      </c>
      <c r="I440" s="93" t="str">
        <f>IF(OR(F440=152,F440=162,F440=510),IF((OR(LEFT(RIGHT(E440,13),1)={"A","D","E","F","G","I","L","N","P","R","S","T","V"})),"Ф",""),"")</f>
        <v/>
      </c>
    </row>
    <row r="441" spans="4:9" x14ac:dyDescent="0.3">
      <c r="D441" s="48" t="str">
        <f>CONCATENATE(УЧРЕЖДЕНИЯ!$A$3)</f>
        <v>Детсад</v>
      </c>
      <c r="E441" s="92" t="s">
        <v>356</v>
      </c>
      <c r="F441" s="93">
        <v>296</v>
      </c>
      <c r="G441" s="93">
        <v>244</v>
      </c>
      <c r="H441" s="17" t="s">
        <v>181</v>
      </c>
      <c r="I441" s="93" t="str">
        <f>IF(OR(F441=152,F441=162,F441=510),IF((OR(LEFT(RIGHT(E441,13),1)={"A","D","E","F","G","I","L","N","P","R","S","T","V"})),"Ф",""),"")</f>
        <v/>
      </c>
    </row>
    <row r="442" spans="4:9" x14ac:dyDescent="0.3">
      <c r="D442" s="48" t="str">
        <f>CONCATENATE(УЧРЕЖДЕНИЯ!$A$3)</f>
        <v>Детсад</v>
      </c>
      <c r="E442" s="92" t="s">
        <v>356</v>
      </c>
      <c r="F442" s="93">
        <v>310</v>
      </c>
      <c r="G442" s="93">
        <v>244</v>
      </c>
      <c r="H442" s="17" t="s">
        <v>181</v>
      </c>
      <c r="I442" s="93" t="str">
        <f>IF(OR(F442=152,F442=162,F442=510),IF((OR(LEFT(RIGHT(E442,13),1)={"A","D","E","F","G","I","L","N","P","R","S","T","V"})),"Ф",""),"")</f>
        <v/>
      </c>
    </row>
    <row r="443" spans="4:9" x14ac:dyDescent="0.3">
      <c r="D443" s="48" t="str">
        <f>CONCATENATE(УЧРЕЖДЕНИЯ!$A$3)</f>
        <v>Детсад</v>
      </c>
      <c r="E443" s="92" t="s">
        <v>356</v>
      </c>
      <c r="F443" s="93">
        <v>341</v>
      </c>
      <c r="G443" s="93">
        <v>244</v>
      </c>
      <c r="H443" s="17" t="s">
        <v>181</v>
      </c>
      <c r="I443" s="93" t="str">
        <f>IF(OR(F443=152,F443=162,F443=510),IF((OR(LEFT(RIGHT(E443,13),1)={"A","D","E","F","G","I","L","N","P","R","S","T","V"})),"Ф",""),"")</f>
        <v/>
      </c>
    </row>
    <row r="444" spans="4:9" x14ac:dyDescent="0.3">
      <c r="D444" s="48" t="str">
        <f>CONCATENATE(УЧРЕЖДЕНИЯ!$A$3)</f>
        <v>Детсад</v>
      </c>
      <c r="E444" s="92" t="s">
        <v>356</v>
      </c>
      <c r="F444" s="93">
        <v>342</v>
      </c>
      <c r="G444" s="93">
        <v>244</v>
      </c>
      <c r="H444" s="17" t="s">
        <v>181</v>
      </c>
      <c r="I444" s="93" t="str">
        <f>IF(OR(F444=152,F444=162,F444=510),IF((OR(LEFT(RIGHT(E444,13),1)={"A","D","E","F","G","I","L","N","P","R","S","T","V"})),"Ф",""),"")</f>
        <v/>
      </c>
    </row>
    <row r="445" spans="4:9" x14ac:dyDescent="0.3">
      <c r="D445" s="48" t="str">
        <f>CONCATENATE(УЧРЕЖДЕНИЯ!$A$3)</f>
        <v>Детсад</v>
      </c>
      <c r="E445" s="92" t="s">
        <v>356</v>
      </c>
      <c r="F445" s="93">
        <v>343</v>
      </c>
      <c r="G445" s="93">
        <v>244</v>
      </c>
      <c r="H445" s="17" t="s">
        <v>181</v>
      </c>
      <c r="I445" s="93" t="str">
        <f>IF(OR(F445=152,F445=162,F445=510),IF((OR(LEFT(RIGHT(E445,13),1)={"A","D","E","F","G","I","L","N","P","R","S","T","V"})),"Ф",""),"")</f>
        <v/>
      </c>
    </row>
    <row r="446" spans="4:9" x14ac:dyDescent="0.3">
      <c r="D446" s="48" t="str">
        <f>CONCATENATE(УЧРЕЖДЕНИЯ!$A$3)</f>
        <v>Детсад</v>
      </c>
      <c r="E446" s="92" t="s">
        <v>356</v>
      </c>
      <c r="F446" s="93">
        <v>344</v>
      </c>
      <c r="G446" s="93">
        <v>244</v>
      </c>
      <c r="H446" s="17" t="s">
        <v>181</v>
      </c>
      <c r="I446" s="93" t="str">
        <f>IF(OR(F446=152,F446=162,F446=510),IF((OR(LEFT(RIGHT(E446,13),1)={"A","D","E","F","G","I","L","N","P","R","S","T","V"})),"Ф",""),"")</f>
        <v/>
      </c>
    </row>
    <row r="447" spans="4:9" x14ac:dyDescent="0.3">
      <c r="D447" s="48" t="str">
        <f>CONCATENATE(УЧРЕЖДЕНИЯ!$A$3)</f>
        <v>Детсад</v>
      </c>
      <c r="E447" s="92" t="s">
        <v>356</v>
      </c>
      <c r="F447" s="93">
        <v>345</v>
      </c>
      <c r="G447" s="93">
        <v>244</v>
      </c>
      <c r="H447" s="17" t="s">
        <v>181</v>
      </c>
      <c r="I447" s="93" t="str">
        <f>IF(OR(F447=152,F447=162,F447=510),IF((OR(LEFT(RIGHT(E447,13),1)={"A","D","E","F","G","I","L","N","P","R","S","T","V"})),"Ф",""),"")</f>
        <v/>
      </c>
    </row>
    <row r="448" spans="4:9" x14ac:dyDescent="0.3">
      <c r="D448" s="48" t="str">
        <f>CONCATENATE(УЧРЕЖДЕНИЯ!$A$3)</f>
        <v>Детсад</v>
      </c>
      <c r="E448" s="92" t="s">
        <v>356</v>
      </c>
      <c r="F448" s="93">
        <v>346</v>
      </c>
      <c r="G448" s="93">
        <v>244</v>
      </c>
      <c r="H448" s="17" t="s">
        <v>181</v>
      </c>
      <c r="I448" s="93" t="str">
        <f>IF(OR(F448=152,F448=162,F448=510),IF((OR(LEFT(RIGHT(E448,13),1)={"A","D","E","F","G","I","L","N","P","R","S","T","V"})),"Ф",""),"")</f>
        <v/>
      </c>
    </row>
    <row r="449" spans="4:9" x14ac:dyDescent="0.3">
      <c r="D449" s="48" t="str">
        <f>CONCATENATE(УЧРЕЖДЕНИЯ!$A$3)</f>
        <v>Детсад</v>
      </c>
      <c r="E449" s="92" t="s">
        <v>356</v>
      </c>
      <c r="F449" s="93">
        <v>349</v>
      </c>
      <c r="G449" s="93">
        <v>244</v>
      </c>
      <c r="H449" s="17" t="s">
        <v>181</v>
      </c>
      <c r="I449" s="93" t="str">
        <f>IF(OR(F449=152,F449=162,F449=510),IF((OR(LEFT(RIGHT(E449,13),1)={"A","D","E","F","G","I","L","N","P","R","S","T","V"})),"Ф",""),"")</f>
        <v/>
      </c>
    </row>
    <row r="450" spans="4:9" x14ac:dyDescent="0.3">
      <c r="D450" s="48" t="str">
        <f>CONCATENATE(УЧРЕЖДЕНИЯ!$A$3)</f>
        <v>Детсад</v>
      </c>
      <c r="E450" s="92" t="s">
        <v>654</v>
      </c>
      <c r="F450" s="93">
        <v>2231</v>
      </c>
      <c r="G450" s="93">
        <v>247</v>
      </c>
      <c r="H450" s="17" t="s">
        <v>181</v>
      </c>
      <c r="I450" s="93" t="str">
        <f>IF(OR(F450=152,F450=162,F450=510),IF((OR(LEFT(RIGHT(E450,13),1)={"A","D","E","F","G","I","L","N","P","R","S","T","V"})),"Ф",""),"")</f>
        <v/>
      </c>
    </row>
    <row r="451" spans="4:9" x14ac:dyDescent="0.3">
      <c r="D451" s="48" t="str">
        <f>CONCATENATE(УЧРЕЖДЕНИЯ!$A$3)</f>
        <v>Детсад</v>
      </c>
      <c r="E451" s="92" t="s">
        <v>665</v>
      </c>
      <c r="F451" s="93">
        <v>2232</v>
      </c>
      <c r="G451" s="93">
        <v>247</v>
      </c>
      <c r="H451" s="17" t="s">
        <v>181</v>
      </c>
      <c r="I451" s="93" t="str">
        <f>IF(OR(F451=152,F451=162,F451=510),IF((OR(LEFT(RIGHT(E451,13),1)={"A","D","E","F","G","I","L","N","P","R","S","T","V"})),"Ф",""),"")</f>
        <v/>
      </c>
    </row>
    <row r="452" spans="4:9" x14ac:dyDescent="0.3">
      <c r="D452" s="48" t="str">
        <f>CONCATENATE(УЧРЕЖДЕНИЯ!$A$3)</f>
        <v>Детсад</v>
      </c>
      <c r="E452" s="92" t="s">
        <v>356</v>
      </c>
      <c r="F452" s="93">
        <v>263</v>
      </c>
      <c r="G452" s="93">
        <v>321</v>
      </c>
      <c r="H452" s="17" t="s">
        <v>181</v>
      </c>
      <c r="I452" s="93" t="str">
        <f>IF(OR(F452=152,F452=162,F452=510),IF((OR(LEFT(RIGHT(E452,13),1)={"A","D","E","F","G","I","L","N","P","R","S","T","V"})),"Ф",""),"")</f>
        <v/>
      </c>
    </row>
    <row r="453" spans="4:9" x14ac:dyDescent="0.3">
      <c r="D453" s="48" t="str">
        <f>CONCATENATE(УЧРЕЖДЕНИЯ!$A$3)</f>
        <v>Детсад</v>
      </c>
      <c r="E453" s="92" t="s">
        <v>350</v>
      </c>
      <c r="F453" s="93">
        <v>510</v>
      </c>
      <c r="G453" s="93">
        <v>510</v>
      </c>
      <c r="H453" s="17" t="s">
        <v>181</v>
      </c>
      <c r="I453" s="93" t="str">
        <f>IF(OR(F453=152,F453=162,F453=510),IF((OR(LEFT(RIGHT(E453,13),1)={"A","D","E","F","G","I","L","N","P","R","S","T","V"})),"Ф",""),"")</f>
        <v/>
      </c>
    </row>
    <row r="454" spans="4:9" x14ac:dyDescent="0.3">
      <c r="D454" s="48" t="str">
        <f>CONCATENATE(УЧРЕЖДЕНИЯ!$A$3)</f>
        <v>Детсад</v>
      </c>
      <c r="E454" s="92" t="s">
        <v>802</v>
      </c>
      <c r="F454" s="93">
        <v>610</v>
      </c>
      <c r="G454" s="93">
        <v>610</v>
      </c>
      <c r="H454" s="17" t="s">
        <v>181</v>
      </c>
      <c r="I454" s="93" t="str">
        <f>IF(OR(F454=152,F454=162,F454=510),IF((OR(LEFT(RIGHT(E454,13),1)={"A","D","E","F","G","I","L","N","P","R","S","T","V"})),"Ф",""),"")</f>
        <v/>
      </c>
    </row>
    <row r="455" spans="4:9" x14ac:dyDescent="0.3">
      <c r="D455" s="48" t="str">
        <f>CONCATENATE(УЧРЕЖДЕНИЯ!$A$3)</f>
        <v>Детсад</v>
      </c>
      <c r="E455" s="92" t="s">
        <v>358</v>
      </c>
      <c r="F455" s="93">
        <v>293</v>
      </c>
      <c r="G455" s="93">
        <v>831</v>
      </c>
      <c r="H455" s="17" t="s">
        <v>181</v>
      </c>
      <c r="I455" s="93" t="str">
        <f>IF(OR(F455=152,F455=162,F455=510),IF((OR(LEFT(RIGHT(E455,13),1)={"A","D","E","F","G","I","L","N","P","R","S","T","V"})),"Ф",""),"")</f>
        <v/>
      </c>
    </row>
    <row r="456" spans="4:9" x14ac:dyDescent="0.3">
      <c r="D456" s="48" t="str">
        <f>CONCATENATE(УЧРЕЖДЕНИЯ!$A$3)</f>
        <v>Детсад</v>
      </c>
      <c r="E456" s="92" t="s">
        <v>358</v>
      </c>
      <c r="F456" s="93">
        <v>296</v>
      </c>
      <c r="G456" s="93">
        <v>831</v>
      </c>
      <c r="H456" s="17" t="s">
        <v>181</v>
      </c>
      <c r="I456" s="93" t="str">
        <f>IF(OR(F456=152,F456=162,F456=510),IF((OR(LEFT(RIGHT(E456,13),1)={"A","D","E","F","G","I","L","N","P","R","S","T","V"})),"Ф",""),"")</f>
        <v/>
      </c>
    </row>
    <row r="457" spans="4:9" x14ac:dyDescent="0.3">
      <c r="D457" s="48" t="str">
        <f>CONCATENATE(УЧРЕЖДЕНИЯ!$A$3)</f>
        <v>Детсад</v>
      </c>
      <c r="E457" s="92" t="s">
        <v>358</v>
      </c>
      <c r="F457" s="93">
        <v>297</v>
      </c>
      <c r="G457" s="93">
        <v>831</v>
      </c>
      <c r="H457" s="17" t="s">
        <v>181</v>
      </c>
      <c r="I457" s="93" t="str">
        <f>IF(OR(F457=152,F457=162,F457=510),IF((OR(LEFT(RIGHT(E457,13),1)={"A","D","E","F","G","I","L","N","P","R","S","T","V"})),"Ф",""),"")</f>
        <v/>
      </c>
    </row>
    <row r="458" spans="4:9" x14ac:dyDescent="0.3">
      <c r="D458" s="48" t="str">
        <f>CONCATENATE(УЧРЕЖДЕНИЯ!$A$3)</f>
        <v>Детсад</v>
      </c>
      <c r="E458" s="92" t="s">
        <v>359</v>
      </c>
      <c r="F458" s="93">
        <v>291</v>
      </c>
      <c r="G458" s="93">
        <v>851</v>
      </c>
      <c r="H458" s="17" t="s">
        <v>181</v>
      </c>
      <c r="I458" s="93" t="str">
        <f>IF(OR(F458=152,F458=162,F458=510),IF((OR(LEFT(RIGHT(E458,13),1)={"A","D","E","F","G","I","L","N","P","R","S","T","V"})),"Ф",""),"")</f>
        <v/>
      </c>
    </row>
    <row r="459" spans="4:9" x14ac:dyDescent="0.3">
      <c r="D459" s="48" t="str">
        <f>CONCATENATE(УЧРЕЖДЕНИЯ!$A$3)</f>
        <v>Детсад</v>
      </c>
      <c r="E459" s="92" t="s">
        <v>360</v>
      </c>
      <c r="F459" s="93">
        <v>291</v>
      </c>
      <c r="G459" s="93">
        <v>852</v>
      </c>
      <c r="H459" s="17" t="s">
        <v>181</v>
      </c>
      <c r="I459" s="93" t="str">
        <f>IF(OR(F459=152,F459=162,F459=510),IF((OR(LEFT(RIGHT(E459,13),1)={"A","D","E","F","G","I","L","N","P","R","S","T","V"})),"Ф",""),"")</f>
        <v/>
      </c>
    </row>
    <row r="460" spans="4:9" x14ac:dyDescent="0.3">
      <c r="D460" s="48" t="str">
        <f>CONCATENATE(УЧРЕЖДЕНИЯ!$A$3)</f>
        <v>Детсад</v>
      </c>
      <c r="E460" s="92" t="s">
        <v>361</v>
      </c>
      <c r="F460" s="93">
        <v>291</v>
      </c>
      <c r="G460" s="93">
        <v>853</v>
      </c>
      <c r="H460" s="17" t="s">
        <v>181</v>
      </c>
      <c r="I460" s="93" t="str">
        <f>IF(OR(F460=152,F460=162,F460=510),IF((OR(LEFT(RIGHT(E460,13),1)={"A","D","E","F","G","I","L","N","P","R","S","T","V"})),"Ф",""),"")</f>
        <v/>
      </c>
    </row>
    <row r="461" spans="4:9" x14ac:dyDescent="0.3">
      <c r="D461" s="48" t="str">
        <f>CONCATENATE(УЧРЕЖДЕНИЯ!$A$3)</f>
        <v>Детсад</v>
      </c>
      <c r="E461" s="92" t="s">
        <v>361</v>
      </c>
      <c r="F461" s="93">
        <v>292</v>
      </c>
      <c r="G461" s="93">
        <v>853</v>
      </c>
      <c r="H461" s="17" t="s">
        <v>181</v>
      </c>
      <c r="I461" s="93" t="str">
        <f>IF(OR(F461=152,F461=162,F461=510),IF((OR(LEFT(RIGHT(E461,13),1)={"A","D","E","F","G","I","L","N","P","R","S","T","V"})),"Ф",""),"")</f>
        <v/>
      </c>
    </row>
    <row r="462" spans="4:9" x14ac:dyDescent="0.3">
      <c r="D462" s="48" t="str">
        <f>CONCATENATE(УЧРЕЖДЕНИЯ!$A$3)</f>
        <v>Детсад</v>
      </c>
      <c r="E462" s="92" t="s">
        <v>361</v>
      </c>
      <c r="F462" s="93">
        <v>293</v>
      </c>
      <c r="G462" s="93">
        <v>853</v>
      </c>
      <c r="H462" s="17" t="s">
        <v>181</v>
      </c>
      <c r="I462" s="93" t="str">
        <f>IF(OR(F462=152,F462=162,F462=510),IF((OR(LEFT(RIGHT(E462,13),1)={"A","D","E","F","G","I","L","N","P","R","S","T","V"})),"Ф",""),"")</f>
        <v/>
      </c>
    </row>
    <row r="463" spans="4:9" x14ac:dyDescent="0.3">
      <c r="D463" s="48" t="str">
        <f>CONCATENATE(УЧРЕЖДЕНИЯ!$A$3)</f>
        <v>Детсад</v>
      </c>
      <c r="E463" s="92" t="s">
        <v>361</v>
      </c>
      <c r="F463" s="93">
        <v>295</v>
      </c>
      <c r="G463" s="93">
        <v>853</v>
      </c>
      <c r="H463" s="17" t="s">
        <v>181</v>
      </c>
      <c r="I463" s="93" t="str">
        <f>IF(OR(F463=152,F463=162,F463=510),IF((OR(LEFT(RIGHT(E463,13),1)={"A","D","E","F","G","I","L","N","P","R","S","T","V"})),"Ф",""),"")</f>
        <v/>
      </c>
    </row>
    <row r="464" spans="4:9" x14ac:dyDescent="0.3">
      <c r="D464" s="48" t="str">
        <f>CONCATENATE(УЧРЕЖДЕНИЯ!$A$3)</f>
        <v>Детсад</v>
      </c>
      <c r="E464" s="92" t="s">
        <v>361</v>
      </c>
      <c r="F464" s="93">
        <v>296</v>
      </c>
      <c r="G464" s="93">
        <v>853</v>
      </c>
      <c r="H464" s="17" t="s">
        <v>181</v>
      </c>
      <c r="I464" s="93" t="str">
        <f>IF(OR(F464=152,F464=162,F464=510),IF((OR(LEFT(RIGHT(E464,13),1)={"A","D","E","F","G","I","L","N","P","R","S","T","V"})),"Ф",""),"")</f>
        <v/>
      </c>
    </row>
    <row r="465" spans="4:9" x14ac:dyDescent="0.3">
      <c r="D465" s="48" t="str">
        <f>CONCATENATE(УЧРЕЖДЕНИЯ!$A$3)</f>
        <v>Детсад</v>
      </c>
      <c r="E465" s="92" t="s">
        <v>363</v>
      </c>
      <c r="F465" s="93">
        <v>131</v>
      </c>
      <c r="G465" s="93">
        <v>130</v>
      </c>
      <c r="H465" s="17" t="s">
        <v>181</v>
      </c>
      <c r="I465" s="93" t="str">
        <f>IF(OR(F465=152,F465=162,F465=510),IF((OR(LEFT(RIGHT(E465,13),1)={"A","D","E","F","G","I","L","N","P","R","S","T","V"})),"Ф",""),"")</f>
        <v/>
      </c>
    </row>
    <row r="466" spans="4:9" x14ac:dyDescent="0.3">
      <c r="D466" s="48" t="str">
        <f>CONCATENATE(УЧРЕЖДЕНИЯ!$A$3)</f>
        <v>Детсад</v>
      </c>
      <c r="E466" s="92" t="s">
        <v>364</v>
      </c>
      <c r="F466" s="93">
        <v>211</v>
      </c>
      <c r="G466" s="93">
        <v>111</v>
      </c>
      <c r="H466" s="17" t="s">
        <v>181</v>
      </c>
      <c r="I466" s="93" t="str">
        <f>IF(OR(F466=152,F466=162,F466=510),IF((OR(LEFT(RIGHT(E466,13),1)={"A","D","E","F","G","I","L","N","P","R","S","T","V"})),"Ф",""),"")</f>
        <v/>
      </c>
    </row>
    <row r="467" spans="4:9" x14ac:dyDescent="0.3">
      <c r="D467" s="48" t="str">
        <f>CONCATENATE(УЧРЕЖДЕНИЯ!$A$3)</f>
        <v>Детсад</v>
      </c>
      <c r="E467" s="92" t="s">
        <v>364</v>
      </c>
      <c r="F467" s="93">
        <v>266</v>
      </c>
      <c r="G467" s="93">
        <v>111</v>
      </c>
      <c r="H467" s="17" t="s">
        <v>181</v>
      </c>
      <c r="I467" s="93" t="str">
        <f>IF(OR(F467=152,F467=162,F467=510),IF((OR(LEFT(RIGHT(E467,13),1)={"A","D","E","F","G","I","L","N","P","R","S","T","V"})),"Ф",""),"")</f>
        <v/>
      </c>
    </row>
    <row r="468" spans="4:9" x14ac:dyDescent="0.3">
      <c r="D468" s="48" t="str">
        <f>CONCATENATE(УЧРЕЖДЕНИЯ!$A$3)</f>
        <v>Детсад</v>
      </c>
      <c r="E468" s="92" t="s">
        <v>365</v>
      </c>
      <c r="F468" s="93">
        <v>212</v>
      </c>
      <c r="G468" s="93">
        <v>112</v>
      </c>
      <c r="H468" s="17" t="s">
        <v>181</v>
      </c>
      <c r="I468" s="93" t="str">
        <f>IF(OR(F468=152,F468=162,F468=510),IF((OR(LEFT(RIGHT(E468,13),1)={"A","D","E","F","G","I","L","N","P","R","S","T","V"})),"Ф",""),"")</f>
        <v/>
      </c>
    </row>
    <row r="469" spans="4:9" x14ac:dyDescent="0.3">
      <c r="D469" s="48" t="str">
        <f>CONCATENATE(УЧРЕЖДЕНИЯ!$A$3)</f>
        <v>Детсад</v>
      </c>
      <c r="E469" s="92" t="s">
        <v>365</v>
      </c>
      <c r="F469" s="93">
        <v>226</v>
      </c>
      <c r="G469" s="93">
        <v>112</v>
      </c>
      <c r="H469" s="17" t="s">
        <v>181</v>
      </c>
      <c r="I469" s="93" t="str">
        <f>IF(OR(F469=152,F469=162,F469=510),IF((OR(LEFT(RIGHT(E469,13),1)={"A","D","E","F","G","I","L","N","P","R","S","T","V"})),"Ф",""),"")</f>
        <v/>
      </c>
    </row>
    <row r="470" spans="4:9" x14ac:dyDescent="0.3">
      <c r="D470" s="48" t="str">
        <f>CONCATENATE(УЧРЕЖДЕНИЯ!$A$3)</f>
        <v>Детсад</v>
      </c>
      <c r="E470" s="92" t="s">
        <v>365</v>
      </c>
      <c r="F470" s="93">
        <v>266</v>
      </c>
      <c r="G470" s="93">
        <v>112</v>
      </c>
      <c r="H470" s="17" t="s">
        <v>181</v>
      </c>
      <c r="I470" s="93" t="str">
        <f>IF(OR(F470=152,F470=162,F470=510),IF((OR(LEFT(RIGHT(E470,13),1)={"A","D","E","F","G","I","L","N","P","R","S","T","V"})),"Ф",""),"")</f>
        <v/>
      </c>
    </row>
    <row r="471" spans="4:9" x14ac:dyDescent="0.3">
      <c r="D471" s="48" t="str">
        <f>CONCATENATE(УЧРЕЖДЕНИЯ!$A$3)</f>
        <v>Детсад</v>
      </c>
      <c r="E471" s="92" t="s">
        <v>366</v>
      </c>
      <c r="F471" s="93">
        <v>213</v>
      </c>
      <c r="G471" s="93">
        <v>119</v>
      </c>
      <c r="H471" s="17" t="s">
        <v>181</v>
      </c>
      <c r="I471" s="93" t="str">
        <f>IF(OR(F471=152,F471=162,F471=510),IF((OR(LEFT(RIGHT(E471,13),1)={"A","D","E","F","G","I","L","N","P","R","S","T","V"})),"Ф",""),"")</f>
        <v/>
      </c>
    </row>
    <row r="472" spans="4:9" x14ac:dyDescent="0.3">
      <c r="D472" s="48" t="str">
        <f>CONCATENATE(УЧРЕЖДЕНИЯ!$A$3)</f>
        <v>Детсад</v>
      </c>
      <c r="E472" s="92" t="s">
        <v>367</v>
      </c>
      <c r="F472" s="93">
        <v>221</v>
      </c>
      <c r="G472" s="93">
        <v>244</v>
      </c>
      <c r="H472" s="17" t="s">
        <v>181</v>
      </c>
      <c r="I472" s="93" t="str">
        <f>IF(OR(F472=152,F472=162,F472=510),IF((OR(LEFT(RIGHT(E472,13),1)={"A","D","E","F","G","I","L","N","P","R","S","T","V"})),"Ф",""),"")</f>
        <v/>
      </c>
    </row>
    <row r="473" spans="4:9" x14ac:dyDescent="0.3">
      <c r="D473" s="48" t="str">
        <f>CONCATENATE(УЧРЕЖДЕНИЯ!$A$3)</f>
        <v>Детсад</v>
      </c>
      <c r="E473" s="92" t="s">
        <v>367</v>
      </c>
      <c r="F473" s="93">
        <v>222</v>
      </c>
      <c r="G473" s="93">
        <v>244</v>
      </c>
      <c r="H473" s="17" t="s">
        <v>181</v>
      </c>
      <c r="I473" s="93" t="str">
        <f>IF(OR(F473=152,F473=162,F473=510),IF((OR(LEFT(RIGHT(E473,13),1)={"A","D","E","F","G","I","L","N","P","R","S","T","V"})),"Ф",""),"")</f>
        <v/>
      </c>
    </row>
    <row r="474" spans="4:9" x14ac:dyDescent="0.3">
      <c r="D474" s="48" t="str">
        <f>CONCATENATE(УЧРЕЖДЕНИЯ!$A$3)</f>
        <v>Детсад</v>
      </c>
      <c r="E474" s="92" t="s">
        <v>367</v>
      </c>
      <c r="F474" s="93">
        <v>226</v>
      </c>
      <c r="G474" s="93">
        <v>244</v>
      </c>
      <c r="H474" s="17" t="s">
        <v>181</v>
      </c>
      <c r="I474" s="93" t="str">
        <f>IF(OR(F474=152,F474=162,F474=510),IF((OR(LEFT(RIGHT(E474,13),1)={"A","D","E","F","G","I","L","N","P","R","S","T","V"})),"Ф",""),"")</f>
        <v/>
      </c>
    </row>
    <row r="475" spans="4:9" x14ac:dyDescent="0.3">
      <c r="D475" s="48" t="str">
        <f>CONCATENATE(УЧРЕЖДЕНИЯ!$A$3)</f>
        <v>Детсад</v>
      </c>
      <c r="E475" s="92" t="s">
        <v>367</v>
      </c>
      <c r="F475" s="93">
        <v>310</v>
      </c>
      <c r="G475" s="93">
        <v>244</v>
      </c>
      <c r="H475" s="17" t="s">
        <v>181</v>
      </c>
      <c r="I475" s="93" t="str">
        <f>IF(OR(F475=152,F475=162,F475=510),IF((OR(LEFT(RIGHT(E475,13),1)={"A","D","E","F","G","I","L","N","P","R","S","T","V"})),"Ф",""),"")</f>
        <v/>
      </c>
    </row>
    <row r="476" spans="4:9" x14ac:dyDescent="0.3">
      <c r="D476" s="48" t="str">
        <f>CONCATENATE(УЧРЕЖДЕНИЯ!$A$3)</f>
        <v>Детсад</v>
      </c>
      <c r="E476" s="92" t="s">
        <v>367</v>
      </c>
      <c r="F476" s="93">
        <v>346</v>
      </c>
      <c r="G476" s="93">
        <v>244</v>
      </c>
      <c r="H476" s="17" t="s">
        <v>181</v>
      </c>
      <c r="I476" s="93" t="str">
        <f>IF(OR(F476=152,F476=162,F476=510),IF((OR(LEFT(RIGHT(E476,13),1)={"A","D","E","F","G","I","L","N","P","R","S","T","V"})),"Ф",""),"")</f>
        <v/>
      </c>
    </row>
    <row r="477" spans="4:9" x14ac:dyDescent="0.3">
      <c r="D477" s="48" t="str">
        <f>CONCATENATE(УЧРЕЖДЕНИЯ!$A$3)</f>
        <v>Детсад</v>
      </c>
      <c r="E477" s="92" t="s">
        <v>362</v>
      </c>
      <c r="F477" s="93">
        <v>510</v>
      </c>
      <c r="G477" s="93">
        <v>510</v>
      </c>
      <c r="H477" s="17" t="s">
        <v>181</v>
      </c>
      <c r="I477" s="93" t="str">
        <f>IF(OR(F477=152,F477=162,F477=510),IF((OR(LEFT(RIGHT(E477,13),1)={"A","D","E","F","G","I","L","N","P","R","S","T","V"})),"Ф",""),"")</f>
        <v/>
      </c>
    </row>
    <row r="478" spans="4:9" x14ac:dyDescent="0.3">
      <c r="D478" s="48" t="str">
        <f>CONCATENATE(УЧРЕЖДЕНИЯ!$A$3)</f>
        <v>Детсад</v>
      </c>
      <c r="E478" s="92" t="s">
        <v>369</v>
      </c>
      <c r="F478" s="93">
        <v>131</v>
      </c>
      <c r="G478" s="93">
        <v>130</v>
      </c>
      <c r="H478" s="17" t="s">
        <v>181</v>
      </c>
      <c r="I478" s="93" t="str">
        <f>IF(OR(F478=152,F478=162,F478=510),IF((OR(LEFT(RIGHT(E478,13),1)={"A","D","E","F","G","I","L","N","P","R","S","T","V"})),"Ф",""),"")</f>
        <v/>
      </c>
    </row>
    <row r="479" spans="4:9" x14ac:dyDescent="0.3">
      <c r="D479" s="48" t="str">
        <f>CONCATENATE(УЧРЕЖДЕНИЯ!$A$3)</f>
        <v>Детсад</v>
      </c>
      <c r="E479" s="92" t="s">
        <v>370</v>
      </c>
      <c r="F479" s="93">
        <v>211</v>
      </c>
      <c r="G479" s="93">
        <v>111</v>
      </c>
      <c r="H479" s="17" t="s">
        <v>181</v>
      </c>
      <c r="I479" s="93" t="str">
        <f>IF(OR(F479=152,F479=162,F479=510),IF((OR(LEFT(RIGHT(E479,13),1)={"A","D","E","F","G","I","L","N","P","R","S","T","V"})),"Ф",""),"")</f>
        <v/>
      </c>
    </row>
    <row r="480" spans="4:9" x14ac:dyDescent="0.3">
      <c r="D480" s="48" t="str">
        <f>CONCATENATE(УЧРЕЖДЕНИЯ!$A$3)</f>
        <v>Детсад</v>
      </c>
      <c r="E480" s="92" t="s">
        <v>371</v>
      </c>
      <c r="F480" s="93">
        <v>213</v>
      </c>
      <c r="G480" s="93">
        <v>119</v>
      </c>
      <c r="H480" s="17" t="s">
        <v>181</v>
      </c>
      <c r="I480" s="93" t="str">
        <f>IF(OR(F480=152,F480=162,F480=510),IF((OR(LEFT(RIGHT(E480,13),1)={"A","D","E","F","G","I","L","N","P","R","S","T","V"})),"Ф",""),"")</f>
        <v/>
      </c>
    </row>
    <row r="481" spans="2:9" x14ac:dyDescent="0.3">
      <c r="D481" s="48" t="str">
        <f>CONCATENATE(УЧРЕЖДЕНИЯ!$A$3)</f>
        <v>Детсад</v>
      </c>
      <c r="E481" s="92" t="s">
        <v>368</v>
      </c>
      <c r="F481" s="93">
        <v>510</v>
      </c>
      <c r="G481" s="93">
        <v>510</v>
      </c>
      <c r="H481" s="17" t="s">
        <v>181</v>
      </c>
      <c r="I481" s="93" t="str">
        <f>IF(OR(F481=152,F481=162,F481=510),IF((OR(LEFT(RIGHT(E481,13),1)={"A","D","E","F","G","I","L","N","P","R","S","T","V"})),"Ф",""),"")</f>
        <v/>
      </c>
    </row>
    <row r="482" spans="2:9" x14ac:dyDescent="0.3">
      <c r="D482" s="48" t="str">
        <f>CONCATENATE(УЧРЕЖДЕНИЯ!$A$3)</f>
        <v>Детсад</v>
      </c>
      <c r="E482" s="92" t="s">
        <v>863</v>
      </c>
      <c r="F482" s="93">
        <v>131</v>
      </c>
      <c r="G482" s="93">
        <v>130</v>
      </c>
      <c r="H482" s="17" t="s">
        <v>181</v>
      </c>
      <c r="I482" s="93" t="str">
        <f>IF(OR(F482=152,F482=162,F482=510),IF((OR(LEFT(RIGHT(E482,13),1)={"A","D","E","F","G","I","L","N","P","R","S","T","V"})),"Ф",""),"")</f>
        <v/>
      </c>
    </row>
    <row r="483" spans="2:9" x14ac:dyDescent="0.3">
      <c r="D483" s="48" t="str">
        <f>CONCATENATE(УЧРЕЖДЕНИЯ!$A$3)</f>
        <v>Детсад</v>
      </c>
      <c r="E483" s="92" t="s">
        <v>864</v>
      </c>
      <c r="F483" s="93">
        <v>211</v>
      </c>
      <c r="G483" s="93">
        <v>111</v>
      </c>
      <c r="H483" s="17" t="s">
        <v>181</v>
      </c>
      <c r="I483" s="93" t="str">
        <f>IF(OR(F483=152,F483=162,F483=510),IF((OR(LEFT(RIGHT(E483,13),1)={"A","D","E","F","G","I","L","N","P","R","S","T","V"})),"Ф",""),"")</f>
        <v/>
      </c>
    </row>
    <row r="484" spans="2:9" x14ac:dyDescent="0.3">
      <c r="D484" s="48" t="str">
        <f>CONCATENATE(УЧРЕЖДЕНИЯ!$A$3)</f>
        <v>Детсад</v>
      </c>
      <c r="E484" s="92" t="s">
        <v>865</v>
      </c>
      <c r="F484" s="93">
        <v>213</v>
      </c>
      <c r="G484" s="93">
        <v>119</v>
      </c>
      <c r="H484" s="17" t="s">
        <v>181</v>
      </c>
      <c r="I484" s="93" t="str">
        <f>IF(OR(F484=152,F484=162,F484=510),IF((OR(LEFT(RIGHT(E484,13),1)={"A","D","E","F","G","I","L","N","P","R","S","T","V"})),"Ф",""),"")</f>
        <v/>
      </c>
    </row>
    <row r="485" spans="2:9" x14ac:dyDescent="0.3">
      <c r="B485" s="48" t="s">
        <v>707</v>
      </c>
      <c r="C485" s="48" t="s">
        <v>705</v>
      </c>
      <c r="D485" s="48" t="str">
        <f>CONCATENATE(УЧРЕЖДЕНИЯ!$A$4)</f>
        <v>Школа</v>
      </c>
      <c r="E485" s="92" t="s">
        <v>373</v>
      </c>
      <c r="F485" s="93">
        <v>131</v>
      </c>
      <c r="G485" s="93">
        <v>130</v>
      </c>
      <c r="H485" s="17" t="s">
        <v>182</v>
      </c>
      <c r="I485" s="93" t="str">
        <f>IF(OR(F485=152,F485=162,F485=510),IF((OR(LEFT(RIGHT(E485,13),1)={"A","D","E","F","G","I","L","N","P","R","S","T","V"})),"Ф",""),"")</f>
        <v/>
      </c>
    </row>
    <row r="486" spans="2:9" x14ac:dyDescent="0.3">
      <c r="D486" s="48" t="str">
        <f>CONCATENATE(УЧРЕЖДЕНИЯ!$A$4)</f>
        <v>Школа</v>
      </c>
      <c r="E486" s="92" t="s">
        <v>374</v>
      </c>
      <c r="F486" s="93">
        <v>211</v>
      </c>
      <c r="G486" s="93">
        <v>111</v>
      </c>
      <c r="H486" s="17" t="s">
        <v>182</v>
      </c>
      <c r="I486" s="93" t="str">
        <f>IF(OR(F486=152,F486=162,F486=510),IF((OR(LEFT(RIGHT(E486,13),1)={"A","D","E","F","G","I","L","N","P","R","S","T","V"})),"Ф",""),"")</f>
        <v/>
      </c>
    </row>
    <row r="487" spans="2:9" x14ac:dyDescent="0.3">
      <c r="D487" s="48" t="str">
        <f>CONCATENATE(УЧРЕЖДЕНИЯ!$A$4)</f>
        <v>Школа</v>
      </c>
      <c r="E487" s="92" t="s">
        <v>374</v>
      </c>
      <c r="F487" s="93">
        <v>266</v>
      </c>
      <c r="G487" s="93">
        <v>111</v>
      </c>
      <c r="H487" s="17" t="s">
        <v>182</v>
      </c>
      <c r="I487" s="93" t="str">
        <f>IF(OR(F487=152,F487=162,F487=510),IF((OR(LEFT(RIGHT(E487,13),1)={"A","D","E","F","G","I","L","N","P","R","S","T","V"})),"Ф",""),"")</f>
        <v/>
      </c>
    </row>
    <row r="488" spans="2:9" x14ac:dyDescent="0.3">
      <c r="D488" s="48" t="str">
        <f>CONCATENATE(УЧРЕЖДЕНИЯ!$A$4)</f>
        <v>Школа</v>
      </c>
      <c r="E488" s="92" t="s">
        <v>375</v>
      </c>
      <c r="F488" s="93">
        <v>213</v>
      </c>
      <c r="G488" s="93">
        <v>119</v>
      </c>
      <c r="H488" s="17" t="s">
        <v>182</v>
      </c>
      <c r="I488" s="93" t="str">
        <f>IF(OR(F488=152,F488=162,F488=510),IF((OR(LEFT(RIGHT(E488,13),1)={"A","D","E","F","G","I","L","N","P","R","S","T","V"})),"Ф",""),"")</f>
        <v/>
      </c>
    </row>
    <row r="489" spans="2:9" x14ac:dyDescent="0.3">
      <c r="D489" s="48" t="str">
        <f>CONCATENATE(УЧРЕЖДЕНИЯ!$A$4)</f>
        <v>Школа</v>
      </c>
      <c r="E489" s="92" t="s">
        <v>376</v>
      </c>
      <c r="F489" s="93">
        <v>212</v>
      </c>
      <c r="G489" s="93">
        <v>112</v>
      </c>
      <c r="H489" s="17" t="s">
        <v>182</v>
      </c>
      <c r="I489" s="93" t="str">
        <f>IF(OR(F489=152,F489=162,F489=510),IF((OR(LEFT(RIGHT(E489,13),1)={"A","D","E","F","G","I","L","N","P","R","S","T","V"})),"Ф",""),"")</f>
        <v/>
      </c>
    </row>
    <row r="490" spans="2:9" x14ac:dyDescent="0.3">
      <c r="D490" s="48" t="str">
        <f>CONCATENATE(УЧРЕЖДЕНИЯ!$A$4)</f>
        <v>Школа</v>
      </c>
      <c r="E490" s="92" t="s">
        <v>376</v>
      </c>
      <c r="F490" s="93">
        <v>226</v>
      </c>
      <c r="G490" s="93">
        <v>112</v>
      </c>
      <c r="H490" s="17" t="s">
        <v>182</v>
      </c>
      <c r="I490" s="93" t="str">
        <f>IF(OR(F490=152,F490=162,F490=510),IF((OR(LEFT(RIGHT(E490,13),1)={"A","D","E","F","G","I","L","N","P","R","S","T","V"})),"Ф",""),"")</f>
        <v/>
      </c>
    </row>
    <row r="491" spans="2:9" x14ac:dyDescent="0.3">
      <c r="D491" s="48" t="str">
        <f>CONCATENATE(УЧРЕЖДЕНИЯ!$A$4)</f>
        <v>Школа</v>
      </c>
      <c r="E491" s="92" t="s">
        <v>376</v>
      </c>
      <c r="F491" s="93">
        <v>266</v>
      </c>
      <c r="G491" s="93">
        <v>112</v>
      </c>
      <c r="H491" s="17" t="s">
        <v>182</v>
      </c>
      <c r="I491" s="93" t="str">
        <f>IF(OR(F491=152,F491=162,F491=510),IF((OR(LEFT(RIGHT(E491,13),1)={"A","D","E","F","G","I","L","N","P","R","S","T","V"})),"Ф",""),"")</f>
        <v/>
      </c>
    </row>
    <row r="492" spans="2:9" x14ac:dyDescent="0.3">
      <c r="D492" s="48" t="str">
        <f>CONCATENATE(УЧРЕЖДЕНИЯ!$A$4)</f>
        <v>Школа</v>
      </c>
      <c r="E492" s="92" t="s">
        <v>377</v>
      </c>
      <c r="F492" s="93">
        <v>221</v>
      </c>
      <c r="G492" s="93">
        <v>244</v>
      </c>
      <c r="H492" s="17" t="s">
        <v>182</v>
      </c>
      <c r="I492" s="93" t="str">
        <f>IF(OR(F492=152,F492=162,F492=510),IF((OR(LEFT(RIGHT(E492,13),1)={"A","D","E","F","G","I","L","N","P","R","S","T","V"})),"Ф",""),"")</f>
        <v/>
      </c>
    </row>
    <row r="493" spans="2:9" x14ac:dyDescent="0.3">
      <c r="D493" s="48" t="str">
        <f>CONCATENATE(УЧРЕЖДЕНИЯ!$A$4)</f>
        <v>Школа</v>
      </c>
      <c r="E493" s="92" t="s">
        <v>377</v>
      </c>
      <c r="F493" s="93">
        <v>222</v>
      </c>
      <c r="G493" s="93">
        <v>244</v>
      </c>
      <c r="H493" s="17" t="s">
        <v>182</v>
      </c>
      <c r="I493" s="93" t="str">
        <f>IF(OR(F493=152,F493=162,F493=510),IF((OR(LEFT(RIGHT(E493,13),1)={"A","D","E","F","G","I","L","N","P","R","S","T","V"})),"Ф",""),"")</f>
        <v/>
      </c>
    </row>
    <row r="494" spans="2:9" x14ac:dyDescent="0.3">
      <c r="D494" s="48" t="str">
        <f>CONCATENATE(УЧРЕЖДЕНИЯ!$A$4)</f>
        <v>Школа</v>
      </c>
      <c r="E494" s="92" t="s">
        <v>378</v>
      </c>
      <c r="F494" s="93">
        <v>2233</v>
      </c>
      <c r="G494" s="93">
        <v>244</v>
      </c>
      <c r="H494" s="17" t="s">
        <v>182</v>
      </c>
      <c r="I494" s="93" t="str">
        <f>IF(OR(F494=152,F494=162,F494=510),IF((OR(LEFT(RIGHT(E494,13),1)={"A","D","E","F","G","I","L","N","P","R","S","T","V"})),"Ф",""),"")</f>
        <v/>
      </c>
    </row>
    <row r="495" spans="2:9" x14ac:dyDescent="0.3">
      <c r="D495" s="48" t="str">
        <f>CONCATENATE(УЧРЕЖДЕНИЯ!$A$4)</f>
        <v>Школа</v>
      </c>
      <c r="E495" s="92" t="s">
        <v>642</v>
      </c>
      <c r="F495" s="93">
        <v>2234</v>
      </c>
      <c r="G495" s="93">
        <v>244</v>
      </c>
      <c r="H495" s="17" t="s">
        <v>182</v>
      </c>
      <c r="I495" s="93" t="str">
        <f>IF(OR(F495=152,F495=162,F495=510),IF((OR(LEFT(RIGHT(E495,13),1)={"A","D","E","F","G","I","L","N","P","R","S","T","V"})),"Ф",""),"")</f>
        <v/>
      </c>
    </row>
    <row r="496" spans="2:9" x14ac:dyDescent="0.3">
      <c r="D496" s="48" t="str">
        <f>CONCATENATE(УЧРЕЖДЕНИЯ!$A$4)</f>
        <v>Школа</v>
      </c>
      <c r="E496" s="92" t="s">
        <v>377</v>
      </c>
      <c r="F496" s="93">
        <v>225</v>
      </c>
      <c r="G496" s="93">
        <v>244</v>
      </c>
      <c r="H496" s="17" t="s">
        <v>182</v>
      </c>
      <c r="I496" s="93" t="str">
        <f>IF(OR(F496=152,F496=162,F496=510),IF((OR(LEFT(RIGHT(E496,13),1)={"A","D","E","F","G","I","L","N","P","R","S","T","V"})),"Ф",""),"")</f>
        <v/>
      </c>
    </row>
    <row r="497" spans="4:9" x14ac:dyDescent="0.3">
      <c r="D497" s="48" t="str">
        <f>CONCATENATE(УЧРЕЖДЕНИЯ!$A$4)</f>
        <v>Школа</v>
      </c>
      <c r="E497" s="92" t="s">
        <v>377</v>
      </c>
      <c r="F497" s="93">
        <v>226</v>
      </c>
      <c r="G497" s="93">
        <v>244</v>
      </c>
      <c r="H497" s="17" t="s">
        <v>182</v>
      </c>
      <c r="I497" s="93" t="str">
        <f>IF(OR(F497=152,F497=162,F497=510),IF((OR(LEFT(RIGHT(E497,13),1)={"A","D","E","F","G","I","L","N","P","R","S","T","V"})),"Ф",""),"")</f>
        <v/>
      </c>
    </row>
    <row r="498" spans="4:9" x14ac:dyDescent="0.3">
      <c r="D498" s="48" t="str">
        <f>CONCATENATE(УЧРЕЖДЕНИЯ!$A$4)</f>
        <v>Школа</v>
      </c>
      <c r="E498" s="92" t="s">
        <v>377</v>
      </c>
      <c r="F498" s="93">
        <v>227</v>
      </c>
      <c r="G498" s="93">
        <v>244</v>
      </c>
      <c r="H498" s="17" t="s">
        <v>182</v>
      </c>
      <c r="I498" s="93" t="str">
        <f>IF(OR(F498=152,F498=162,F498=510),IF((OR(LEFT(RIGHT(E498,13),1)={"A","D","E","F","G","I","L","N","P","R","S","T","V"})),"Ф",""),"")</f>
        <v/>
      </c>
    </row>
    <row r="499" spans="4:9" x14ac:dyDescent="0.3">
      <c r="D499" s="48" t="str">
        <f>CONCATENATE(УЧРЕЖДЕНИЯ!$A$4)</f>
        <v>Школа</v>
      </c>
      <c r="E499" s="92" t="s">
        <v>377</v>
      </c>
      <c r="F499" s="93">
        <v>228</v>
      </c>
      <c r="G499" s="93">
        <v>244</v>
      </c>
      <c r="H499" s="17" t="s">
        <v>182</v>
      </c>
      <c r="I499" s="93" t="str">
        <f>IF(OR(F499=152,F499=162,F499=510),IF((OR(LEFT(RIGHT(E499,13),1)={"A","D","E","F","G","I","L","N","P","R","S","T","V"})),"Ф",""),"")</f>
        <v/>
      </c>
    </row>
    <row r="500" spans="4:9" x14ac:dyDescent="0.3">
      <c r="D500" s="48" t="str">
        <f>CONCATENATE(УЧРЕЖДЕНИЯ!$A$4)</f>
        <v>Школа</v>
      </c>
      <c r="E500" s="92" t="s">
        <v>377</v>
      </c>
      <c r="F500" s="93">
        <v>296</v>
      </c>
      <c r="G500" s="93">
        <v>244</v>
      </c>
      <c r="H500" s="17" t="s">
        <v>182</v>
      </c>
      <c r="I500" s="93" t="str">
        <f>IF(OR(F500=152,F500=162,F500=510),IF((OR(LEFT(RIGHT(E500,13),1)={"A","D","E","F","G","I","L","N","P","R","S","T","V"})),"Ф",""),"")</f>
        <v/>
      </c>
    </row>
    <row r="501" spans="4:9" x14ac:dyDescent="0.3">
      <c r="D501" s="48" t="str">
        <f>CONCATENATE(УЧРЕЖДЕНИЯ!$A$4)</f>
        <v>Школа</v>
      </c>
      <c r="E501" s="92" t="s">
        <v>377</v>
      </c>
      <c r="F501" s="93">
        <v>310</v>
      </c>
      <c r="G501" s="93">
        <v>244</v>
      </c>
      <c r="H501" s="17" t="s">
        <v>182</v>
      </c>
      <c r="I501" s="93" t="str">
        <f>IF(OR(F501=152,F501=162,F501=510),IF((OR(LEFT(RIGHT(E501,13),1)={"A","D","E","F","G","I","L","N","P","R","S","T","V"})),"Ф",""),"")</f>
        <v/>
      </c>
    </row>
    <row r="502" spans="4:9" x14ac:dyDescent="0.3">
      <c r="D502" s="48" t="str">
        <f>CONCATENATE(УЧРЕЖДЕНИЯ!$A$4)</f>
        <v>Школа</v>
      </c>
      <c r="E502" s="92" t="s">
        <v>377</v>
      </c>
      <c r="F502" s="93">
        <v>341</v>
      </c>
      <c r="G502" s="93">
        <v>244</v>
      </c>
      <c r="H502" s="17" t="s">
        <v>182</v>
      </c>
      <c r="I502" s="93" t="str">
        <f>IF(OR(F502=152,F502=162,F502=510),IF((OR(LEFT(RIGHT(E502,13),1)={"A","D","E","F","G","I","L","N","P","R","S","T","V"})),"Ф",""),"")</f>
        <v/>
      </c>
    </row>
    <row r="503" spans="4:9" x14ac:dyDescent="0.3">
      <c r="D503" s="48" t="str">
        <f>CONCATENATE(УЧРЕЖДЕНИЯ!$A$4)</f>
        <v>Школа</v>
      </c>
      <c r="E503" s="92" t="s">
        <v>377</v>
      </c>
      <c r="F503" s="93">
        <v>342</v>
      </c>
      <c r="G503" s="93">
        <v>244</v>
      </c>
      <c r="H503" s="17" t="s">
        <v>182</v>
      </c>
      <c r="I503" s="93" t="str">
        <f>IF(OR(F503=152,F503=162,F503=510),IF((OR(LEFT(RIGHT(E503,13),1)={"A","D","E","F","G","I","L","N","P","R","S","T","V"})),"Ф",""),"")</f>
        <v/>
      </c>
    </row>
    <row r="504" spans="4:9" x14ac:dyDescent="0.3">
      <c r="D504" s="48" t="str">
        <f>CONCATENATE(УЧРЕЖДЕНИЯ!$A$4)</f>
        <v>Школа</v>
      </c>
      <c r="E504" s="92" t="s">
        <v>377</v>
      </c>
      <c r="F504" s="93">
        <v>343</v>
      </c>
      <c r="G504" s="93">
        <v>244</v>
      </c>
      <c r="H504" s="17" t="s">
        <v>182</v>
      </c>
      <c r="I504" s="93" t="str">
        <f>IF(OR(F504=152,F504=162,F504=510),IF((OR(LEFT(RIGHT(E504,13),1)={"A","D","E","F","G","I","L","N","P","R","S","T","V"})),"Ф",""),"")</f>
        <v/>
      </c>
    </row>
    <row r="505" spans="4:9" x14ac:dyDescent="0.3">
      <c r="D505" s="48" t="str">
        <f>CONCATENATE(УЧРЕЖДЕНИЯ!$A$4)</f>
        <v>Школа</v>
      </c>
      <c r="E505" s="92" t="s">
        <v>377</v>
      </c>
      <c r="F505" s="93">
        <v>344</v>
      </c>
      <c r="G505" s="93">
        <v>244</v>
      </c>
      <c r="H505" s="17" t="s">
        <v>182</v>
      </c>
      <c r="I505" s="93" t="str">
        <f>IF(OR(F505=152,F505=162,F505=510),IF((OR(LEFT(RIGHT(E505,13),1)={"A","D","E","F","G","I","L","N","P","R","S","T","V"})),"Ф",""),"")</f>
        <v/>
      </c>
    </row>
    <row r="506" spans="4:9" x14ac:dyDescent="0.3">
      <c r="D506" s="48" t="str">
        <f>CONCATENATE(УЧРЕЖДЕНИЯ!$A$4)</f>
        <v>Школа</v>
      </c>
      <c r="E506" s="92" t="s">
        <v>377</v>
      </c>
      <c r="F506" s="93">
        <v>345</v>
      </c>
      <c r="G506" s="93">
        <v>244</v>
      </c>
      <c r="H506" s="17" t="s">
        <v>182</v>
      </c>
      <c r="I506" s="93" t="str">
        <f>IF(OR(F506=152,F506=162,F506=510),IF((OR(LEFT(RIGHT(E506,13),1)={"A","D","E","F","G","I","L","N","P","R","S","T","V"})),"Ф",""),"")</f>
        <v/>
      </c>
    </row>
    <row r="507" spans="4:9" x14ac:dyDescent="0.3">
      <c r="D507" s="48" t="str">
        <f>CONCATENATE(УЧРЕЖДЕНИЯ!$A$4)</f>
        <v>Школа</v>
      </c>
      <c r="E507" s="92" t="s">
        <v>377</v>
      </c>
      <c r="F507" s="93">
        <v>346</v>
      </c>
      <c r="G507" s="93">
        <v>244</v>
      </c>
      <c r="H507" s="17" t="s">
        <v>182</v>
      </c>
      <c r="I507" s="93" t="str">
        <f>IF(OR(F507=152,F507=162,F507=510),IF((OR(LEFT(RIGHT(E507,13),1)={"A","D","E","F","G","I","L","N","P","R","S","T","V"})),"Ф",""),"")</f>
        <v/>
      </c>
    </row>
    <row r="508" spans="4:9" x14ac:dyDescent="0.3">
      <c r="D508" s="48" t="str">
        <f>CONCATENATE(УЧРЕЖДЕНИЯ!$A$4)</f>
        <v>Школа</v>
      </c>
      <c r="E508" s="92" t="s">
        <v>377</v>
      </c>
      <c r="F508" s="93">
        <v>349</v>
      </c>
      <c r="G508" s="93">
        <v>244</v>
      </c>
      <c r="H508" s="17" t="s">
        <v>182</v>
      </c>
      <c r="I508" s="93" t="str">
        <f>IF(OR(F508=152,F508=162,F508=510),IF((OR(LEFT(RIGHT(E508,13),1)={"A","D","E","F","G","I","L","N","P","R","S","T","V"})),"Ф",""),"")</f>
        <v/>
      </c>
    </row>
    <row r="509" spans="4:9" x14ac:dyDescent="0.3">
      <c r="D509" s="48" t="str">
        <f>CONCATENATE(УЧРЕЖДЕНИЯ!$A$4)</f>
        <v>Школа</v>
      </c>
      <c r="E509" s="92" t="s">
        <v>655</v>
      </c>
      <c r="F509" s="93">
        <v>2231</v>
      </c>
      <c r="G509" s="93">
        <v>247</v>
      </c>
      <c r="H509" s="17" t="s">
        <v>182</v>
      </c>
      <c r="I509" s="93" t="str">
        <f>IF(OR(F509=152,F509=162,F509=510),IF((OR(LEFT(RIGHT(E509,13),1)={"A","D","E","F","G","I","L","N","P","R","S","T","V"})),"Ф",""),"")</f>
        <v/>
      </c>
    </row>
    <row r="510" spans="4:9" x14ac:dyDescent="0.3">
      <c r="D510" s="48" t="str">
        <f>CONCATENATE(УЧРЕЖДЕНИЯ!$A$4)</f>
        <v>Школа</v>
      </c>
      <c r="E510" s="92" t="s">
        <v>666</v>
      </c>
      <c r="F510" s="93">
        <v>2232</v>
      </c>
      <c r="G510" s="93">
        <v>247</v>
      </c>
      <c r="H510" s="17" t="s">
        <v>182</v>
      </c>
      <c r="I510" s="93" t="str">
        <f>IF(OR(F510=152,F510=162,F510=510),IF((OR(LEFT(RIGHT(E510,13),1)={"A","D","E","F","G","I","L","N","P","R","S","T","V"})),"Ф",""),"")</f>
        <v/>
      </c>
    </row>
    <row r="511" spans="4:9" x14ac:dyDescent="0.3">
      <c r="D511" s="48" t="str">
        <f>CONCATENATE(УЧРЕЖДЕНИЯ!$A$4)</f>
        <v>Школа</v>
      </c>
      <c r="E511" s="92" t="s">
        <v>372</v>
      </c>
      <c r="F511" s="93">
        <v>510</v>
      </c>
      <c r="G511" s="93">
        <v>510</v>
      </c>
      <c r="H511" s="17" t="s">
        <v>182</v>
      </c>
      <c r="I511" s="93" t="str">
        <f>IF(OR(F511=152,F511=162,F511=510),IF((OR(LEFT(RIGHT(E511,13),1)={"A","D","E","F","G","I","L","N","P","R","S","T","V"})),"Ф",""),"")</f>
        <v/>
      </c>
    </row>
    <row r="512" spans="4:9" x14ac:dyDescent="0.3">
      <c r="D512" s="48" t="str">
        <f>CONCATENATE(УЧРЕЖДЕНИЯ!$A$4)</f>
        <v>Школа</v>
      </c>
      <c r="E512" s="92" t="s">
        <v>803</v>
      </c>
      <c r="F512" s="93">
        <v>610</v>
      </c>
      <c r="G512" s="93">
        <v>610</v>
      </c>
      <c r="H512" s="17" t="s">
        <v>182</v>
      </c>
      <c r="I512" s="93" t="str">
        <f>IF(OR(F512=152,F512=162,F512=510),IF((OR(LEFT(RIGHT(E512,13),1)={"A","D","E","F","G","I","L","N","P","R","S","T","V"})),"Ф",""),"")</f>
        <v/>
      </c>
    </row>
    <row r="513" spans="4:9" x14ac:dyDescent="0.3">
      <c r="D513" s="48" t="str">
        <f>CONCATENATE(УЧРЕЖДЕНИЯ!$A$4)</f>
        <v>Школа</v>
      </c>
      <c r="E513" s="92" t="s">
        <v>379</v>
      </c>
      <c r="F513" s="93">
        <v>293</v>
      </c>
      <c r="G513" s="93">
        <v>831</v>
      </c>
      <c r="H513" s="17" t="s">
        <v>182</v>
      </c>
      <c r="I513" s="93" t="str">
        <f>IF(OR(F513=152,F513=162,F513=510),IF((OR(LEFT(RIGHT(E513,13),1)={"A","D","E","F","G","I","L","N","P","R","S","T","V"})),"Ф",""),"")</f>
        <v/>
      </c>
    </row>
    <row r="514" spans="4:9" x14ac:dyDescent="0.3">
      <c r="D514" s="48" t="str">
        <f>CONCATENATE(УЧРЕЖДЕНИЯ!$A$4)</f>
        <v>Школа</v>
      </c>
      <c r="E514" s="92" t="s">
        <v>379</v>
      </c>
      <c r="F514" s="93">
        <v>296</v>
      </c>
      <c r="G514" s="93">
        <v>831</v>
      </c>
      <c r="H514" s="17" t="s">
        <v>182</v>
      </c>
      <c r="I514" s="93" t="str">
        <f>IF(OR(F514=152,F514=162,F514=510),IF((OR(LEFT(RIGHT(E514,13),1)={"A","D","E","F","G","I","L","N","P","R","S","T","V"})),"Ф",""),"")</f>
        <v/>
      </c>
    </row>
    <row r="515" spans="4:9" x14ac:dyDescent="0.3">
      <c r="D515" s="48" t="str">
        <f>CONCATENATE(УЧРЕЖДЕНИЯ!$A$4)</f>
        <v>Школа</v>
      </c>
      <c r="E515" s="92" t="s">
        <v>379</v>
      </c>
      <c r="F515" s="93">
        <v>297</v>
      </c>
      <c r="G515" s="93">
        <v>831</v>
      </c>
      <c r="H515" s="17" t="s">
        <v>182</v>
      </c>
      <c r="I515" s="93" t="str">
        <f>IF(OR(F515=152,F515=162,F515=510),IF((OR(LEFT(RIGHT(E515,13),1)={"A","D","E","F","G","I","L","N","P","R","S","T","V"})),"Ф",""),"")</f>
        <v/>
      </c>
    </row>
    <row r="516" spans="4:9" x14ac:dyDescent="0.3">
      <c r="D516" s="48" t="str">
        <f>CONCATENATE(УЧРЕЖДЕНИЯ!$A$4)</f>
        <v>Школа</v>
      </c>
      <c r="E516" s="92" t="s">
        <v>380</v>
      </c>
      <c r="F516" s="93">
        <v>291</v>
      </c>
      <c r="G516" s="93">
        <v>851</v>
      </c>
      <c r="H516" s="17" t="s">
        <v>182</v>
      </c>
      <c r="I516" s="93" t="str">
        <f>IF(OR(F516=152,F516=162,F516=510),IF((OR(LEFT(RIGHT(E516,13),1)={"A","D","E","F","G","I","L","N","P","R","S","T","V"})),"Ф",""),"")</f>
        <v/>
      </c>
    </row>
    <row r="517" spans="4:9" x14ac:dyDescent="0.3">
      <c r="D517" s="48" t="str">
        <f>CONCATENATE(УЧРЕЖДЕНИЯ!$A$4)</f>
        <v>Школа</v>
      </c>
      <c r="E517" s="92" t="s">
        <v>381</v>
      </c>
      <c r="F517" s="93">
        <v>291</v>
      </c>
      <c r="G517" s="93">
        <v>852</v>
      </c>
      <c r="H517" s="17" t="s">
        <v>182</v>
      </c>
      <c r="I517" s="93" t="str">
        <f>IF(OR(F517=152,F517=162,F517=510),IF((OR(LEFT(RIGHT(E517,13),1)={"A","D","E","F","G","I","L","N","P","R","S","T","V"})),"Ф",""),"")</f>
        <v/>
      </c>
    </row>
    <row r="518" spans="4:9" x14ac:dyDescent="0.3">
      <c r="D518" s="48" t="str">
        <f>CONCATENATE(УЧРЕЖДЕНИЯ!$A$4)</f>
        <v>Школа</v>
      </c>
      <c r="E518" s="92" t="s">
        <v>382</v>
      </c>
      <c r="F518" s="93">
        <v>291</v>
      </c>
      <c r="G518" s="93">
        <v>853</v>
      </c>
      <c r="H518" s="17" t="s">
        <v>182</v>
      </c>
      <c r="I518" s="93" t="str">
        <f>IF(OR(F518=152,F518=162,F518=510),IF((OR(LEFT(RIGHT(E518,13),1)={"A","D","E","F","G","I","L","N","P","R","S","T","V"})),"Ф",""),"")</f>
        <v/>
      </c>
    </row>
    <row r="519" spans="4:9" x14ac:dyDescent="0.3">
      <c r="D519" s="48" t="str">
        <f>CONCATENATE(УЧРЕЖДЕНИЯ!$A$4)</f>
        <v>Школа</v>
      </c>
      <c r="E519" s="92" t="s">
        <v>382</v>
      </c>
      <c r="F519" s="93">
        <v>292</v>
      </c>
      <c r="G519" s="93">
        <v>853</v>
      </c>
      <c r="H519" s="17" t="s">
        <v>182</v>
      </c>
      <c r="I519" s="93" t="str">
        <f>IF(OR(F519=152,F519=162,F519=510),IF((OR(LEFT(RIGHT(E519,13),1)={"A","D","E","F","G","I","L","N","P","R","S","T","V"})),"Ф",""),"")</f>
        <v/>
      </c>
    </row>
    <row r="520" spans="4:9" x14ac:dyDescent="0.3">
      <c r="D520" s="48" t="str">
        <f>CONCATENATE(УЧРЕЖДЕНИЯ!$A$4)</f>
        <v>Школа</v>
      </c>
      <c r="E520" s="92" t="s">
        <v>382</v>
      </c>
      <c r="F520" s="93">
        <v>293</v>
      </c>
      <c r="G520" s="93">
        <v>853</v>
      </c>
      <c r="H520" s="17" t="s">
        <v>182</v>
      </c>
      <c r="I520" s="93" t="str">
        <f>IF(OR(F520=152,F520=162,F520=510),IF((OR(LEFT(RIGHT(E520,13),1)={"A","D","E","F","G","I","L","N","P","R","S","T","V"})),"Ф",""),"")</f>
        <v/>
      </c>
    </row>
    <row r="521" spans="4:9" x14ac:dyDescent="0.3">
      <c r="D521" s="48" t="str">
        <f>CONCATENATE(УЧРЕЖДЕНИЯ!$A$4)</f>
        <v>Школа</v>
      </c>
      <c r="E521" s="92" t="s">
        <v>382</v>
      </c>
      <c r="F521" s="93">
        <v>295</v>
      </c>
      <c r="G521" s="93">
        <v>853</v>
      </c>
      <c r="H521" s="17" t="s">
        <v>182</v>
      </c>
      <c r="I521" s="93" t="str">
        <f>IF(OR(F521=152,F521=162,F521=510),IF((OR(LEFT(RIGHT(E521,13),1)={"A","D","E","F","G","I","L","N","P","R","S","T","V"})),"Ф",""),"")</f>
        <v/>
      </c>
    </row>
    <row r="522" spans="4:9" x14ac:dyDescent="0.3">
      <c r="D522" s="48" t="str">
        <f>CONCATENATE(УЧРЕЖДЕНИЯ!$A$4)</f>
        <v>Школа</v>
      </c>
      <c r="E522" s="92" t="s">
        <v>382</v>
      </c>
      <c r="F522" s="93">
        <v>297</v>
      </c>
      <c r="G522" s="93">
        <v>853</v>
      </c>
      <c r="H522" s="17" t="s">
        <v>182</v>
      </c>
      <c r="I522" s="93" t="str">
        <f>IF(OR(F522=152,F522=162,F522=510),IF((OR(LEFT(RIGHT(E522,13),1)={"A","D","E","F","G","I","L","N","P","R","S","T","V"})),"Ф",""),"")</f>
        <v/>
      </c>
    </row>
    <row r="523" spans="4:9" x14ac:dyDescent="0.3">
      <c r="D523" s="48" t="str">
        <f>CONCATENATE(УЧРЕЖДЕНИЯ!$A$4)</f>
        <v>Школа</v>
      </c>
      <c r="E523" s="92" t="s">
        <v>384</v>
      </c>
      <c r="F523" s="93">
        <v>131</v>
      </c>
      <c r="G523" s="93">
        <v>130</v>
      </c>
      <c r="H523" s="17" t="s">
        <v>182</v>
      </c>
      <c r="I523" s="93" t="str">
        <f>IF(OR(F523=152,F523=162,F523=510),IF((OR(LEFT(RIGHT(E523,13),1)={"A","D","E","F","G","I","L","N","P","R","S","T","V"})),"Ф",""),"")</f>
        <v/>
      </c>
    </row>
    <row r="524" spans="4:9" x14ac:dyDescent="0.3">
      <c r="D524" s="48" t="str">
        <f>CONCATENATE(УЧРЕЖДЕНИЯ!$A$4)</f>
        <v>Школа</v>
      </c>
      <c r="E524" s="92" t="s">
        <v>385</v>
      </c>
      <c r="F524" s="93">
        <v>211</v>
      </c>
      <c r="G524" s="93">
        <v>111</v>
      </c>
      <c r="H524" s="17" t="s">
        <v>182</v>
      </c>
      <c r="I524" s="93" t="str">
        <f>IF(OR(F524=152,F524=162,F524=510),IF((OR(LEFT(RIGHT(E524,13),1)={"A","D","E","F","G","I","L","N","P","R","S","T","V"})),"Ф",""),"")</f>
        <v/>
      </c>
    </row>
    <row r="525" spans="4:9" x14ac:dyDescent="0.3">
      <c r="D525" s="48" t="str">
        <f>CONCATENATE(УЧРЕЖДЕНИЯ!$A$4)</f>
        <v>Школа</v>
      </c>
      <c r="E525" s="92" t="s">
        <v>385</v>
      </c>
      <c r="F525" s="93">
        <v>266</v>
      </c>
      <c r="G525" s="93">
        <v>111</v>
      </c>
      <c r="H525" s="17" t="s">
        <v>182</v>
      </c>
      <c r="I525" s="93" t="str">
        <f>IF(OR(F525=152,F525=162,F525=510),IF((OR(LEFT(RIGHT(E525,13),1)={"A","D","E","F","G","I","L","N","P","R","S","T","V"})),"Ф",""),"")</f>
        <v/>
      </c>
    </row>
    <row r="526" spans="4:9" x14ac:dyDescent="0.3">
      <c r="D526" s="48" t="str">
        <f>CONCATENATE(УЧРЕЖДЕНИЯ!$A$4)</f>
        <v>Школа</v>
      </c>
      <c r="E526" s="92" t="s">
        <v>386</v>
      </c>
      <c r="F526" s="93">
        <v>212</v>
      </c>
      <c r="G526" s="93">
        <v>112</v>
      </c>
      <c r="H526" s="17" t="s">
        <v>182</v>
      </c>
      <c r="I526" s="93" t="str">
        <f>IF(OR(F526=152,F526=162,F526=510),IF((OR(LEFT(RIGHT(E526,13),1)={"A","D","E","F","G","I","L","N","P","R","S","T","V"})),"Ф",""),"")</f>
        <v/>
      </c>
    </row>
    <row r="527" spans="4:9" x14ac:dyDescent="0.3">
      <c r="D527" s="48" t="str">
        <f>CONCATENATE(УЧРЕЖДЕНИЯ!$A$4)</f>
        <v>Школа</v>
      </c>
      <c r="E527" s="92" t="s">
        <v>386</v>
      </c>
      <c r="F527" s="93">
        <v>226</v>
      </c>
      <c r="G527" s="93">
        <v>112</v>
      </c>
      <c r="H527" s="17" t="s">
        <v>182</v>
      </c>
      <c r="I527" s="93" t="str">
        <f>IF(OR(F527=152,F527=162,F527=510),IF((OR(LEFT(RIGHT(E527,13),1)={"A","D","E","F","G","I","L","N","P","R","S","T","V"})),"Ф",""),"")</f>
        <v/>
      </c>
    </row>
    <row r="528" spans="4:9" x14ac:dyDescent="0.3">
      <c r="D528" s="48" t="str">
        <f>CONCATENATE(УЧРЕЖДЕНИЯ!$A$4)</f>
        <v>Школа</v>
      </c>
      <c r="E528" s="92" t="s">
        <v>386</v>
      </c>
      <c r="F528" s="93">
        <v>266</v>
      </c>
      <c r="G528" s="93">
        <v>112</v>
      </c>
      <c r="H528" s="17" t="s">
        <v>182</v>
      </c>
      <c r="I528" s="93" t="str">
        <f>IF(OR(F528=152,F528=162,F528=510),IF((OR(LEFT(RIGHT(E528,13),1)={"A","D","E","F","G","I","L","N","P","R","S","T","V"})),"Ф",""),"")</f>
        <v/>
      </c>
    </row>
    <row r="529" spans="4:9" x14ac:dyDescent="0.3">
      <c r="D529" s="48" t="str">
        <f>CONCATENATE(УЧРЕЖДЕНИЯ!$A$4)</f>
        <v>Школа</v>
      </c>
      <c r="E529" s="92" t="s">
        <v>387</v>
      </c>
      <c r="F529" s="93">
        <v>226</v>
      </c>
      <c r="G529" s="93">
        <v>113</v>
      </c>
      <c r="H529" s="17" t="s">
        <v>182</v>
      </c>
      <c r="I529" s="93" t="str">
        <f>IF(OR(F529=152,F529=162,F529=510),IF((OR(LEFT(RIGHT(E529,13),1)={"A","D","E","F","G","I","L","N","P","R","S","T","V"})),"Ф",""),"")</f>
        <v/>
      </c>
    </row>
    <row r="530" spans="4:9" x14ac:dyDescent="0.3">
      <c r="D530" s="48" t="str">
        <f>CONCATENATE(УЧРЕЖДЕНИЯ!$A$4)</f>
        <v>Школа</v>
      </c>
      <c r="E530" s="92" t="s">
        <v>387</v>
      </c>
      <c r="F530" s="93">
        <v>296</v>
      </c>
      <c r="G530" s="93">
        <v>113</v>
      </c>
      <c r="H530" s="17" t="s">
        <v>182</v>
      </c>
      <c r="I530" s="93" t="str">
        <f>IF(OR(F530=152,F530=162,F530=510),IF((OR(LEFT(RIGHT(E530,13),1)={"A","D","E","F","G","I","L","N","P","R","S","T","V"})),"Ф",""),"")</f>
        <v/>
      </c>
    </row>
    <row r="531" spans="4:9" x14ac:dyDescent="0.3">
      <c r="D531" s="48" t="str">
        <f>CONCATENATE(УЧРЕЖДЕНИЯ!$A$4)</f>
        <v>Школа</v>
      </c>
      <c r="E531" s="92" t="s">
        <v>388</v>
      </c>
      <c r="F531" s="93">
        <v>213</v>
      </c>
      <c r="G531" s="93">
        <v>119</v>
      </c>
      <c r="H531" s="17" t="s">
        <v>182</v>
      </c>
      <c r="I531" s="93" t="str">
        <f>IF(OR(F531=152,F531=162,F531=510),IF((OR(LEFT(RIGHT(E531,13),1)={"A","D","E","F","G","I","L","N","P","R","S","T","V"})),"Ф",""),"")</f>
        <v/>
      </c>
    </row>
    <row r="532" spans="4:9" x14ac:dyDescent="0.3">
      <c r="D532" s="48" t="str">
        <f>CONCATENATE(УЧРЕЖДЕНИЯ!$A$4)</f>
        <v>Школа</v>
      </c>
      <c r="E532" s="92" t="s">
        <v>388</v>
      </c>
      <c r="F532" s="93">
        <v>267</v>
      </c>
      <c r="G532" s="93">
        <v>119</v>
      </c>
      <c r="H532" s="17" t="s">
        <v>182</v>
      </c>
      <c r="I532" s="93" t="str">
        <f>IF(OR(F532=152,F532=162,F532=510),IF((OR(LEFT(RIGHT(E532,13),1)={"A","D","E","F","G","I","L","N","P","R","S","T","V"})),"Ф",""),"")</f>
        <v/>
      </c>
    </row>
    <row r="533" spans="4:9" x14ac:dyDescent="0.3">
      <c r="D533" s="48" t="str">
        <f>CONCATENATE(УЧРЕЖДЕНИЯ!$A$4)</f>
        <v>Школа</v>
      </c>
      <c r="E533" s="92" t="s">
        <v>389</v>
      </c>
      <c r="F533" s="93">
        <v>221</v>
      </c>
      <c r="G533" s="93">
        <v>244</v>
      </c>
      <c r="H533" s="17" t="s">
        <v>182</v>
      </c>
      <c r="I533" s="93" t="str">
        <f>IF(OR(F533=152,F533=162,F533=510),IF((OR(LEFT(RIGHT(E533,13),1)={"A","D","E","F","G","I","L","N","P","R","S","T","V"})),"Ф",""),"")</f>
        <v/>
      </c>
    </row>
    <row r="534" spans="4:9" x14ac:dyDescent="0.3">
      <c r="D534" s="48" t="str">
        <f>CONCATENATE(УЧРЕЖДЕНИЯ!$A$4)</f>
        <v>Школа</v>
      </c>
      <c r="E534" s="92" t="s">
        <v>389</v>
      </c>
      <c r="F534" s="93">
        <v>222</v>
      </c>
      <c r="G534" s="93">
        <v>244</v>
      </c>
      <c r="H534" s="17" t="s">
        <v>182</v>
      </c>
      <c r="I534" s="93" t="str">
        <f>IF(OR(F534=152,F534=162,F534=510),IF((OR(LEFT(RIGHT(E534,13),1)={"A","D","E","F","G","I","L","N","P","R","S","T","V"})),"Ф",""),"")</f>
        <v/>
      </c>
    </row>
    <row r="535" spans="4:9" x14ac:dyDescent="0.3">
      <c r="D535" s="48" t="str">
        <f>CONCATENATE(УЧРЕЖДЕНИЯ!$A$4)</f>
        <v>Школа</v>
      </c>
      <c r="E535" s="92" t="s">
        <v>389</v>
      </c>
      <c r="F535" s="93">
        <v>225</v>
      </c>
      <c r="G535" s="93">
        <v>244</v>
      </c>
      <c r="H535" s="17" t="s">
        <v>182</v>
      </c>
      <c r="I535" s="93" t="str">
        <f>IF(OR(F535=152,F535=162,F535=510),IF((OR(LEFT(RIGHT(E535,13),1)={"A","D","E","F","G","I","L","N","P","R","S","T","V"})),"Ф",""),"")</f>
        <v/>
      </c>
    </row>
    <row r="536" spans="4:9" x14ac:dyDescent="0.3">
      <c r="D536" s="48" t="str">
        <f>CONCATENATE(УЧРЕЖДЕНИЯ!$A$4)</f>
        <v>Школа</v>
      </c>
      <c r="E536" s="92" t="s">
        <v>389</v>
      </c>
      <c r="F536" s="93">
        <v>226</v>
      </c>
      <c r="G536" s="93">
        <v>244</v>
      </c>
      <c r="H536" s="17" t="s">
        <v>182</v>
      </c>
      <c r="I536" s="93" t="str">
        <f>IF(OR(F536=152,F536=162,F536=510),IF((OR(LEFT(RIGHT(E536,13),1)={"A","D","E","F","G","I","L","N","P","R","S","T","V"})),"Ф",""),"")</f>
        <v/>
      </c>
    </row>
    <row r="537" spans="4:9" x14ac:dyDescent="0.3">
      <c r="D537" s="48" t="str">
        <f>CONCATENATE(УЧРЕЖДЕНИЯ!$A$4)</f>
        <v>Школа</v>
      </c>
      <c r="E537" s="92" t="s">
        <v>389</v>
      </c>
      <c r="F537" s="93">
        <v>228</v>
      </c>
      <c r="G537" s="93">
        <v>244</v>
      </c>
      <c r="H537" s="17" t="s">
        <v>182</v>
      </c>
      <c r="I537" s="93" t="str">
        <f>IF(OR(F537=152,F537=162,F537=510),IF((OR(LEFT(RIGHT(E537,13),1)={"A","D","E","F","G","I","L","N","P","R","S","T","V"})),"Ф",""),"")</f>
        <v/>
      </c>
    </row>
    <row r="538" spans="4:9" x14ac:dyDescent="0.3">
      <c r="D538" s="48" t="str">
        <f>CONCATENATE(УЧРЕЖДЕНИЯ!$A$4)</f>
        <v>Школа</v>
      </c>
      <c r="E538" s="92" t="s">
        <v>389</v>
      </c>
      <c r="F538" s="93">
        <v>296</v>
      </c>
      <c r="G538" s="93">
        <v>244</v>
      </c>
      <c r="H538" s="17" t="s">
        <v>182</v>
      </c>
      <c r="I538" s="93" t="str">
        <f>IF(OR(F538=152,F538=162,F538=510),IF((OR(LEFT(RIGHT(E538,13),1)={"A","D","E","F","G","I","L","N","P","R","S","T","V"})),"Ф",""),"")</f>
        <v/>
      </c>
    </row>
    <row r="539" spans="4:9" x14ac:dyDescent="0.3">
      <c r="D539" s="48" t="str">
        <f>CONCATENATE(УЧРЕЖДЕНИЯ!$A$4)</f>
        <v>Школа</v>
      </c>
      <c r="E539" s="92" t="s">
        <v>389</v>
      </c>
      <c r="F539" s="93">
        <v>310</v>
      </c>
      <c r="G539" s="93">
        <v>244</v>
      </c>
      <c r="H539" s="17" t="s">
        <v>182</v>
      </c>
      <c r="I539" s="93" t="str">
        <f>IF(OR(F539=152,F539=162,F539=510),IF((OR(LEFT(RIGHT(E539,13),1)={"A","D","E","F","G","I","L","N","P","R","S","T","V"})),"Ф",""),"")</f>
        <v/>
      </c>
    </row>
    <row r="540" spans="4:9" x14ac:dyDescent="0.3">
      <c r="D540" s="48" t="str">
        <f>CONCATENATE(УЧРЕЖДЕНИЯ!$A$4)</f>
        <v>Школа</v>
      </c>
      <c r="E540" s="92" t="s">
        <v>389</v>
      </c>
      <c r="F540" s="93">
        <v>346</v>
      </c>
      <c r="G540" s="93">
        <v>244</v>
      </c>
      <c r="H540" s="17" t="s">
        <v>182</v>
      </c>
      <c r="I540" s="93" t="str">
        <f>IF(OR(F540=152,F540=162,F540=510),IF((OR(LEFT(RIGHT(E540,13),1)={"A","D","E","F","G","I","L","N","P","R","S","T","V"})),"Ф",""),"")</f>
        <v/>
      </c>
    </row>
    <row r="541" spans="4:9" x14ac:dyDescent="0.3">
      <c r="D541" s="48" t="str">
        <f>CONCATENATE(УЧРЕЖДЕНИЯ!$A$4)</f>
        <v>Школа</v>
      </c>
      <c r="E541" s="92" t="s">
        <v>389</v>
      </c>
      <c r="F541" s="93">
        <v>349</v>
      </c>
      <c r="G541" s="93">
        <v>244</v>
      </c>
      <c r="H541" s="17" t="s">
        <v>182</v>
      </c>
      <c r="I541" s="93" t="str">
        <f>IF(OR(F541=152,F541=162,F541=510),IF((OR(LEFT(RIGHT(E541,13),1)={"A","D","E","F","G","I","L","N","P","R","S","T","V"})),"Ф",""),"")</f>
        <v/>
      </c>
    </row>
    <row r="542" spans="4:9" x14ac:dyDescent="0.3">
      <c r="D542" s="48" t="str">
        <f>CONCATENATE(УЧРЕЖДЕНИЯ!$A$4)</f>
        <v>Школа</v>
      </c>
      <c r="E542" s="92" t="s">
        <v>383</v>
      </c>
      <c r="F542" s="93">
        <v>510</v>
      </c>
      <c r="G542" s="93">
        <v>510</v>
      </c>
      <c r="H542" s="17" t="s">
        <v>182</v>
      </c>
      <c r="I542" s="93" t="str">
        <f>IF(OR(F542=152,F542=162,F542=510),IF((OR(LEFT(RIGHT(E542,13),1)={"A","D","E","F","G","I","L","N","P","R","S","T","V"})),"Ф",""),"")</f>
        <v/>
      </c>
    </row>
    <row r="543" spans="4:9" x14ac:dyDescent="0.3">
      <c r="D543" s="48" t="str">
        <f>CONCATENATE(УЧРЕЖДЕНИЯ!$A$4)</f>
        <v>Школа</v>
      </c>
      <c r="E543" s="92" t="s">
        <v>390</v>
      </c>
      <c r="F543" s="93">
        <v>131</v>
      </c>
      <c r="G543" s="93">
        <v>130</v>
      </c>
      <c r="H543" s="17" t="s">
        <v>182</v>
      </c>
      <c r="I543" s="93" t="str">
        <f>IF(OR(F543=152,F543=162,F543=510),IF((OR(LEFT(RIGHT(E543,13),1)={"A","D","E","F","G","I","L","N","P","R","S","T","V"})),"Ф",""),"")</f>
        <v/>
      </c>
    </row>
    <row r="544" spans="4:9" x14ac:dyDescent="0.3">
      <c r="D544" s="48" t="str">
        <f>CONCATENATE(УЧРЕЖДЕНИЯ!$A$4)</f>
        <v>Школа</v>
      </c>
      <c r="E544" s="92" t="s">
        <v>391</v>
      </c>
      <c r="F544" s="93">
        <v>211</v>
      </c>
      <c r="G544" s="93">
        <v>111</v>
      </c>
      <c r="H544" s="17" t="s">
        <v>182</v>
      </c>
      <c r="I544" s="93" t="str">
        <f>IF(OR(F544=152,F544=162,F544=510),IF((OR(LEFT(RIGHT(E544,13),1)={"A","D","E","F","G","I","L","N","P","R","S","T","V"})),"Ф",""),"")</f>
        <v/>
      </c>
    </row>
    <row r="545" spans="2:9" x14ac:dyDescent="0.3">
      <c r="D545" s="48" t="str">
        <f>CONCATENATE(УЧРЕЖДЕНИЯ!$A$4)</f>
        <v>Школа</v>
      </c>
      <c r="E545" s="92" t="s">
        <v>392</v>
      </c>
      <c r="F545" s="93">
        <v>213</v>
      </c>
      <c r="G545" s="93">
        <v>119</v>
      </c>
      <c r="H545" s="17" t="s">
        <v>182</v>
      </c>
      <c r="I545" s="93" t="str">
        <f>IF(OR(F545=152,F545=162,F545=510),IF((OR(LEFT(RIGHT(E545,13),1)={"A","D","E","F","G","I","L","N","P","R","S","T","V"})),"Ф",""),"")</f>
        <v/>
      </c>
    </row>
    <row r="546" spans="2:9" x14ac:dyDescent="0.3">
      <c r="D546" s="48" t="str">
        <f>CONCATENATE(УЧРЕЖДЕНИЯ!$A$4)</f>
        <v>Школа</v>
      </c>
      <c r="E546" s="92" t="s">
        <v>866</v>
      </c>
      <c r="F546" s="93">
        <v>131</v>
      </c>
      <c r="G546" s="93">
        <v>130</v>
      </c>
      <c r="H546" s="17" t="s">
        <v>182</v>
      </c>
      <c r="I546" s="93" t="str">
        <f>IF(OR(F546=152,F546=162,F546=510),IF((OR(LEFT(RIGHT(E546,13),1)={"A","D","E","F","G","I","L","N","P","R","S","T","V"})),"Ф",""),"")</f>
        <v/>
      </c>
    </row>
    <row r="547" spans="2:9" x14ac:dyDescent="0.3">
      <c r="D547" s="48" t="str">
        <f>CONCATENATE(УЧРЕЖДЕНИЯ!$A$4)</f>
        <v>Школа</v>
      </c>
      <c r="E547" s="92" t="s">
        <v>867</v>
      </c>
      <c r="F547" s="93">
        <v>211</v>
      </c>
      <c r="G547" s="93">
        <v>111</v>
      </c>
      <c r="H547" s="17" t="s">
        <v>182</v>
      </c>
      <c r="I547" s="93" t="str">
        <f>IF(OR(F547=152,F547=162,F547=510),IF((OR(LEFT(RIGHT(E547,13),1)={"A","D","E","F","G","I","L","N","P","R","S","T","V"})),"Ф",""),"")</f>
        <v/>
      </c>
    </row>
    <row r="548" spans="2:9" x14ac:dyDescent="0.3">
      <c r="D548" s="48" t="str">
        <f>CONCATENATE(УЧРЕЖДЕНИЯ!$A$4)</f>
        <v>Школа</v>
      </c>
      <c r="E548" s="92" t="s">
        <v>868</v>
      </c>
      <c r="F548" s="93">
        <v>213</v>
      </c>
      <c r="G548" s="93">
        <v>119</v>
      </c>
      <c r="H548" s="17" t="s">
        <v>182</v>
      </c>
      <c r="I548" s="93" t="str">
        <f>IF(OR(F548=152,F548=162,F548=510),IF((OR(LEFT(RIGHT(E548,13),1)={"A","D","E","F","G","I","L","N","P","R","S","T","V"})),"Ф",""),"")</f>
        <v/>
      </c>
    </row>
    <row r="549" spans="2:9" x14ac:dyDescent="0.3">
      <c r="B549" s="48" t="s">
        <v>707</v>
      </c>
      <c r="C549" s="48" t="s">
        <v>706</v>
      </c>
      <c r="D549" s="48" t="str">
        <f>CONCATENATE(УЧРЕЖДЕНИЯ!$A$5)</f>
        <v>Допобр</v>
      </c>
      <c r="E549" s="92" t="s">
        <v>394</v>
      </c>
      <c r="F549" s="93">
        <v>131</v>
      </c>
      <c r="G549" s="93">
        <v>130</v>
      </c>
      <c r="H549" s="17" t="s">
        <v>183</v>
      </c>
      <c r="I549" s="93" t="str">
        <f>IF(OR(F549=152,F549=162,F549=510),IF((OR(LEFT(RIGHT(E549,13),1)={"A","D","E","F","G","I","L","N","P","R","S","T","V"})),"Ф",""),"")</f>
        <v/>
      </c>
    </row>
    <row r="550" spans="2:9" x14ac:dyDescent="0.3">
      <c r="D550" s="48" t="str">
        <f>CONCATENATE(УЧРЕЖДЕНИЯ!$A$5)</f>
        <v>Допобр</v>
      </c>
      <c r="E550" s="92" t="s">
        <v>395</v>
      </c>
      <c r="F550" s="93">
        <v>211</v>
      </c>
      <c r="G550" s="93">
        <v>111</v>
      </c>
      <c r="H550" s="17" t="s">
        <v>183</v>
      </c>
      <c r="I550" s="93" t="str">
        <f>IF(OR(F550=152,F550=162,F550=510),IF((OR(LEFT(RIGHT(E550,13),1)={"A","D","E","F","G","I","L","N","P","R","S","T","V"})),"Ф",""),"")</f>
        <v/>
      </c>
    </row>
    <row r="551" spans="2:9" x14ac:dyDescent="0.3">
      <c r="D551" s="48" t="str">
        <f>CONCATENATE(УЧРЕЖДЕНИЯ!$A$5)</f>
        <v>Допобр</v>
      </c>
      <c r="E551" s="92" t="s">
        <v>395</v>
      </c>
      <c r="F551" s="93">
        <v>266</v>
      </c>
      <c r="G551" s="93">
        <v>111</v>
      </c>
      <c r="H551" s="17" t="s">
        <v>183</v>
      </c>
      <c r="I551" s="93" t="str">
        <f>IF(OR(F551=152,F551=162,F551=510),IF((OR(LEFT(RIGHT(E551,13),1)={"A","D","E","F","G","I","L","N","P","R","S","T","V"})),"Ф",""),"")</f>
        <v/>
      </c>
    </row>
    <row r="552" spans="2:9" x14ac:dyDescent="0.3">
      <c r="D552" s="48" t="str">
        <f>CONCATENATE(УЧРЕЖДЕНИЯ!$A$5)</f>
        <v>Допобр</v>
      </c>
      <c r="E552" s="92" t="s">
        <v>396</v>
      </c>
      <c r="F552" s="93">
        <v>212</v>
      </c>
      <c r="G552" s="93">
        <v>112</v>
      </c>
      <c r="H552" s="17" t="s">
        <v>183</v>
      </c>
      <c r="I552" s="93" t="str">
        <f>IF(OR(F552=152,F552=162,F552=510),IF((OR(LEFT(RIGHT(E552,13),1)={"A","D","E","F","G","I","L","N","P","R","S","T","V"})),"Ф",""),"")</f>
        <v/>
      </c>
    </row>
    <row r="553" spans="2:9" x14ac:dyDescent="0.3">
      <c r="D553" s="48" t="str">
        <f>CONCATENATE(УЧРЕЖДЕНИЯ!$A$5)</f>
        <v>Допобр</v>
      </c>
      <c r="E553" s="92" t="s">
        <v>396</v>
      </c>
      <c r="F553" s="93">
        <v>226</v>
      </c>
      <c r="G553" s="93">
        <v>112</v>
      </c>
      <c r="H553" s="17" t="s">
        <v>183</v>
      </c>
      <c r="I553" s="93" t="str">
        <f>IF(OR(F553=152,F553=162,F553=510),IF((OR(LEFT(RIGHT(E553,13),1)={"A","D","E","F","G","I","L","N","P","R","S","T","V"})),"Ф",""),"")</f>
        <v/>
      </c>
    </row>
    <row r="554" spans="2:9" x14ac:dyDescent="0.3">
      <c r="D554" s="48" t="str">
        <f>CONCATENATE(УЧРЕЖДЕНИЯ!$A$5)</f>
        <v>Допобр</v>
      </c>
      <c r="E554" s="92" t="s">
        <v>397</v>
      </c>
      <c r="F554" s="93">
        <v>296</v>
      </c>
      <c r="G554" s="93">
        <v>113</v>
      </c>
      <c r="H554" s="17" t="s">
        <v>183</v>
      </c>
      <c r="I554" s="93" t="str">
        <f>IF(OR(F554=152,F554=162,F554=510),IF((OR(LEFT(RIGHT(E554,13),1)={"A","D","E","F","G","I","L","N","P","R","S","T","V"})),"Ф",""),"")</f>
        <v/>
      </c>
    </row>
    <row r="555" spans="2:9" x14ac:dyDescent="0.3">
      <c r="D555" s="48" t="str">
        <f>CONCATENATE(УЧРЕЖДЕНИЯ!$A$5)</f>
        <v>Допобр</v>
      </c>
      <c r="E555" s="92" t="s">
        <v>398</v>
      </c>
      <c r="F555" s="93">
        <v>213</v>
      </c>
      <c r="G555" s="93">
        <v>119</v>
      </c>
      <c r="H555" s="17" t="s">
        <v>183</v>
      </c>
      <c r="I555" s="93" t="str">
        <f>IF(OR(F555=152,F555=162,F555=510),IF((OR(LEFT(RIGHT(E555,13),1)={"A","D","E","F","G","I","L","N","P","R","S","T","V"})),"Ф",""),"")</f>
        <v/>
      </c>
    </row>
    <row r="556" spans="2:9" x14ac:dyDescent="0.3">
      <c r="D556" s="48" t="str">
        <f>CONCATENATE(УЧРЕЖДЕНИЯ!$A$5)</f>
        <v>Допобр</v>
      </c>
      <c r="E556" s="92" t="s">
        <v>399</v>
      </c>
      <c r="F556" s="93">
        <v>221</v>
      </c>
      <c r="G556" s="93">
        <v>244</v>
      </c>
      <c r="H556" s="17" t="s">
        <v>183</v>
      </c>
      <c r="I556" s="93" t="str">
        <f>IF(OR(F556=152,F556=162,F556=510),IF((OR(LEFT(RIGHT(E556,13),1)={"A","D","E","F","G","I","L","N","P","R","S","T","V"})),"Ф",""),"")</f>
        <v/>
      </c>
    </row>
    <row r="557" spans="2:9" x14ac:dyDescent="0.3">
      <c r="D557" s="48" t="str">
        <f>CONCATENATE(УЧРЕЖДЕНИЯ!$A$5)</f>
        <v>Допобр</v>
      </c>
      <c r="E557" s="92" t="s">
        <v>399</v>
      </c>
      <c r="F557" s="93">
        <v>222</v>
      </c>
      <c r="G557" s="93">
        <v>244</v>
      </c>
      <c r="H557" s="17" t="s">
        <v>183</v>
      </c>
      <c r="I557" s="93" t="str">
        <f>IF(OR(F557=152,F557=162,F557=510),IF((OR(LEFT(RIGHT(E557,13),1)={"A","D","E","F","G","I","L","N","P","R","S","T","V"})),"Ф",""),"")</f>
        <v/>
      </c>
    </row>
    <row r="558" spans="2:9" x14ac:dyDescent="0.3">
      <c r="D558" s="48" t="str">
        <f>CONCATENATE(УЧРЕЖДЕНИЯ!$A$5)</f>
        <v>Допобр</v>
      </c>
      <c r="E558" s="92" t="s">
        <v>400</v>
      </c>
      <c r="F558" s="93">
        <v>2233</v>
      </c>
      <c r="G558" s="93">
        <v>244</v>
      </c>
      <c r="H558" s="17" t="s">
        <v>183</v>
      </c>
      <c r="I558" s="93" t="str">
        <f>IF(OR(F558=152,F558=162,F558=510),IF((OR(LEFT(RIGHT(E558,13),1)={"A","D","E","F","G","I","L","N","P","R","S","T","V"})),"Ф",""),"")</f>
        <v/>
      </c>
    </row>
    <row r="559" spans="2:9" x14ac:dyDescent="0.3">
      <c r="D559" s="48" t="str">
        <f>CONCATENATE(УЧРЕЖДЕНИЯ!$A$5)</f>
        <v>Допобр</v>
      </c>
      <c r="E559" s="92" t="s">
        <v>643</v>
      </c>
      <c r="F559" s="93">
        <v>2234</v>
      </c>
      <c r="G559" s="93">
        <v>244</v>
      </c>
      <c r="H559" s="17" t="s">
        <v>183</v>
      </c>
      <c r="I559" s="93" t="str">
        <f>IF(OR(F559=152,F559=162,F559=510),IF((OR(LEFT(RIGHT(E559,13),1)={"A","D","E","F","G","I","L","N","P","R","S","T","V"})),"Ф",""),"")</f>
        <v/>
      </c>
    </row>
    <row r="560" spans="2:9" x14ac:dyDescent="0.3">
      <c r="D560" s="48" t="str">
        <f>CONCATENATE(УЧРЕЖДЕНИЯ!$A$5)</f>
        <v>Допобр</v>
      </c>
      <c r="E560" s="92" t="s">
        <v>399</v>
      </c>
      <c r="F560" s="93">
        <v>225</v>
      </c>
      <c r="G560" s="93">
        <v>244</v>
      </c>
      <c r="H560" s="17" t="s">
        <v>183</v>
      </c>
      <c r="I560" s="93" t="str">
        <f>IF(OR(F560=152,F560=162,F560=510),IF((OR(LEFT(RIGHT(E560,13),1)={"A","D","E","F","G","I","L","N","P","R","S","T","V"})),"Ф",""),"")</f>
        <v/>
      </c>
    </row>
    <row r="561" spans="4:9" x14ac:dyDescent="0.3">
      <c r="D561" s="48" t="str">
        <f>CONCATENATE(УЧРЕЖДЕНИЯ!$A$5)</f>
        <v>Допобр</v>
      </c>
      <c r="E561" s="92" t="s">
        <v>399</v>
      </c>
      <c r="F561" s="93">
        <v>226</v>
      </c>
      <c r="G561" s="93">
        <v>244</v>
      </c>
      <c r="H561" s="17" t="s">
        <v>183</v>
      </c>
      <c r="I561" s="93" t="str">
        <f>IF(OR(F561=152,F561=162,F561=510),IF((OR(LEFT(RIGHT(E561,13),1)={"A","D","E","F","G","I","L","N","P","R","S","T","V"})),"Ф",""),"")</f>
        <v/>
      </c>
    </row>
    <row r="562" spans="4:9" x14ac:dyDescent="0.3">
      <c r="D562" s="48" t="str">
        <f>CONCATENATE(УЧРЕЖДЕНИЯ!$A$5)</f>
        <v>Допобр</v>
      </c>
      <c r="E562" s="92" t="s">
        <v>399</v>
      </c>
      <c r="F562" s="93">
        <v>228</v>
      </c>
      <c r="G562" s="93">
        <v>244</v>
      </c>
      <c r="H562" s="17" t="s">
        <v>183</v>
      </c>
      <c r="I562" s="93" t="str">
        <f>IF(OR(F562=152,F562=162,F562=510),IF((OR(LEFT(RIGHT(E562,13),1)={"A","D","E","F","G","I","L","N","P","R","S","T","V"})),"Ф",""),"")</f>
        <v/>
      </c>
    </row>
    <row r="563" spans="4:9" x14ac:dyDescent="0.3">
      <c r="D563" s="48" t="str">
        <f>CONCATENATE(УЧРЕЖДЕНИЯ!$A$5)</f>
        <v>Допобр</v>
      </c>
      <c r="E563" s="92" t="s">
        <v>399</v>
      </c>
      <c r="F563" s="93">
        <v>296</v>
      </c>
      <c r="G563" s="93">
        <v>244</v>
      </c>
      <c r="H563" s="17" t="s">
        <v>183</v>
      </c>
      <c r="I563" s="93" t="str">
        <f>IF(OR(F563=152,F563=162,F563=510),IF((OR(LEFT(RIGHT(E563,13),1)={"A","D","E","F","G","I","L","N","P","R","S","T","V"})),"Ф",""),"")</f>
        <v/>
      </c>
    </row>
    <row r="564" spans="4:9" x14ac:dyDescent="0.3">
      <c r="D564" s="48" t="str">
        <f>CONCATENATE(УЧРЕЖДЕНИЯ!$A$5)</f>
        <v>Допобр</v>
      </c>
      <c r="E564" s="92" t="s">
        <v>399</v>
      </c>
      <c r="F564" s="93">
        <v>310</v>
      </c>
      <c r="G564" s="93">
        <v>244</v>
      </c>
      <c r="H564" s="17" t="s">
        <v>183</v>
      </c>
      <c r="I564" s="93" t="str">
        <f>IF(OR(F564=152,F564=162,F564=510),IF((OR(LEFT(RIGHT(E564,13),1)={"A","D","E","F","G","I","L","N","P","R","S","T","V"})),"Ф",""),"")</f>
        <v/>
      </c>
    </row>
    <row r="565" spans="4:9" x14ac:dyDescent="0.3">
      <c r="D565" s="48" t="str">
        <f>CONCATENATE(УЧРЕЖДЕНИЯ!$A$5)</f>
        <v>Допобр</v>
      </c>
      <c r="E565" s="92" t="s">
        <v>399</v>
      </c>
      <c r="F565" s="93">
        <v>344</v>
      </c>
      <c r="G565" s="93">
        <v>244</v>
      </c>
      <c r="H565" s="17" t="s">
        <v>183</v>
      </c>
      <c r="I565" s="93" t="str">
        <f>IF(OR(F565=152,F565=162,F565=510),IF((OR(LEFT(RIGHT(E565,13),1)={"A","D","E","F","G","I","L","N","P","R","S","T","V"})),"Ф",""),"")</f>
        <v/>
      </c>
    </row>
    <row r="566" spans="4:9" x14ac:dyDescent="0.3">
      <c r="D566" s="48" t="str">
        <f>CONCATENATE(УЧРЕЖДЕНИЯ!$A$5)</f>
        <v>Допобр</v>
      </c>
      <c r="E566" s="92" t="s">
        <v>399</v>
      </c>
      <c r="F566" s="93">
        <v>345</v>
      </c>
      <c r="G566" s="93">
        <v>244</v>
      </c>
      <c r="H566" s="17" t="s">
        <v>183</v>
      </c>
      <c r="I566" s="93" t="str">
        <f>IF(OR(F566=152,F566=162,F566=510),IF((OR(LEFT(RIGHT(E566,13),1)={"A","D","E","F","G","I","L","N","P","R","S","T","V"})),"Ф",""),"")</f>
        <v/>
      </c>
    </row>
    <row r="567" spans="4:9" x14ac:dyDescent="0.3">
      <c r="D567" s="48" t="str">
        <f>CONCATENATE(УЧРЕЖДЕНИЯ!$A$5)</f>
        <v>Допобр</v>
      </c>
      <c r="E567" s="92" t="s">
        <v>399</v>
      </c>
      <c r="F567" s="93">
        <v>346</v>
      </c>
      <c r="G567" s="93">
        <v>244</v>
      </c>
      <c r="H567" s="17" t="s">
        <v>183</v>
      </c>
      <c r="I567" s="93" t="str">
        <f>IF(OR(F567=152,F567=162,F567=510),IF((OR(LEFT(RIGHT(E567,13),1)={"A","D","E","F","G","I","L","N","P","R","S","T","V"})),"Ф",""),"")</f>
        <v/>
      </c>
    </row>
    <row r="568" spans="4:9" x14ac:dyDescent="0.3">
      <c r="D568" s="48" t="str">
        <f>CONCATENATE(УЧРЕЖДЕНИЯ!$A$5)</f>
        <v>Допобр</v>
      </c>
      <c r="E568" s="92" t="s">
        <v>399</v>
      </c>
      <c r="F568" s="93">
        <v>349</v>
      </c>
      <c r="G568" s="93">
        <v>244</v>
      </c>
      <c r="H568" s="17" t="s">
        <v>183</v>
      </c>
      <c r="I568" s="93" t="str">
        <f>IF(OR(F568=152,F568=162,F568=510),IF((OR(LEFT(RIGHT(E568,13),1)={"A","D","E","F","G","I","L","N","P","R","S","T","V"})),"Ф",""),"")</f>
        <v/>
      </c>
    </row>
    <row r="569" spans="4:9" x14ac:dyDescent="0.3">
      <c r="D569" s="48" t="str">
        <f>CONCATENATE(УЧРЕЖДЕНИЯ!$A$5)</f>
        <v>Допобр</v>
      </c>
      <c r="E569" s="92" t="s">
        <v>656</v>
      </c>
      <c r="F569" s="93">
        <v>2231</v>
      </c>
      <c r="G569" s="93">
        <v>247</v>
      </c>
      <c r="H569" s="17" t="s">
        <v>183</v>
      </c>
      <c r="I569" s="93" t="str">
        <f>IF(OR(F569=152,F569=162,F569=510),IF((OR(LEFT(RIGHT(E569,13),1)={"A","D","E","F","G","I","L","N","P","R","S","T","V"})),"Ф",""),"")</f>
        <v/>
      </c>
    </row>
    <row r="570" spans="4:9" x14ac:dyDescent="0.3">
      <c r="D570" s="48" t="str">
        <f>CONCATENATE(УЧРЕЖДЕНИЯ!$A$5)</f>
        <v>Допобр</v>
      </c>
      <c r="E570" s="92" t="s">
        <v>667</v>
      </c>
      <c r="F570" s="93">
        <v>2232</v>
      </c>
      <c r="G570" s="93">
        <v>247</v>
      </c>
      <c r="H570" s="17" t="s">
        <v>183</v>
      </c>
      <c r="I570" s="93" t="str">
        <f>IF(OR(F570=152,F570=162,F570=510),IF((OR(LEFT(RIGHT(E570,13),1)={"A","D","E","F","G","I","L","N","P","R","S","T","V"})),"Ф",""),"")</f>
        <v/>
      </c>
    </row>
    <row r="571" spans="4:9" x14ac:dyDescent="0.3">
      <c r="D571" s="48" t="str">
        <f>CONCATENATE(УЧРЕЖДЕНИЯ!$A$5)</f>
        <v>Допобр</v>
      </c>
      <c r="E571" s="92" t="s">
        <v>393</v>
      </c>
      <c r="F571" s="93">
        <v>510</v>
      </c>
      <c r="G571" s="93">
        <v>510</v>
      </c>
      <c r="H571" s="17" t="s">
        <v>183</v>
      </c>
      <c r="I571" s="93" t="str">
        <f>IF(OR(F571=152,F571=162,F571=510),IF((OR(LEFT(RIGHT(E571,13),1)={"A","D","E","F","G","I","L","N","P","R","S","T","V"})),"Ф",""),"")</f>
        <v/>
      </c>
    </row>
    <row r="572" spans="4:9" x14ac:dyDescent="0.3">
      <c r="D572" s="48" t="str">
        <f>CONCATENATE(УЧРЕЖДЕНИЯ!$A$5)</f>
        <v>Допобр</v>
      </c>
      <c r="E572" s="92" t="s">
        <v>804</v>
      </c>
      <c r="F572" s="93">
        <v>610</v>
      </c>
      <c r="G572" s="93">
        <v>610</v>
      </c>
      <c r="H572" s="17" t="s">
        <v>183</v>
      </c>
      <c r="I572" s="93" t="str">
        <f>IF(OR(F572=152,F572=162,F572=510),IF((OR(LEFT(RIGHT(E572,13),1)={"A","D","E","F","G","I","L","N","P","R","S","T","V"})),"Ф",""),"")</f>
        <v/>
      </c>
    </row>
    <row r="573" spans="4:9" x14ac:dyDescent="0.3">
      <c r="D573" s="48" t="str">
        <f>CONCATENATE(УЧРЕЖДЕНИЯ!$A$5)</f>
        <v>Допобр</v>
      </c>
      <c r="E573" s="92" t="s">
        <v>401</v>
      </c>
      <c r="F573" s="93">
        <v>291</v>
      </c>
      <c r="G573" s="93">
        <v>851</v>
      </c>
      <c r="H573" s="17" t="s">
        <v>183</v>
      </c>
      <c r="I573" s="93" t="str">
        <f>IF(OR(F573=152,F573=162,F573=510),IF((OR(LEFT(RIGHT(E573,13),1)={"A","D","E","F","G","I","L","N","P","R","S","T","V"})),"Ф",""),"")</f>
        <v/>
      </c>
    </row>
    <row r="574" spans="4:9" x14ac:dyDescent="0.3">
      <c r="D574" s="48" t="str">
        <f>CONCATENATE(УЧРЕЖДЕНИЯ!$A$5)</f>
        <v>Допобр</v>
      </c>
      <c r="E574" s="92" t="s">
        <v>402</v>
      </c>
      <c r="F574" s="93">
        <v>291</v>
      </c>
      <c r="G574" s="93">
        <v>852</v>
      </c>
      <c r="H574" s="17" t="s">
        <v>183</v>
      </c>
      <c r="I574" s="93" t="str">
        <f>IF(OR(F574=152,F574=162,F574=510),IF((OR(LEFT(RIGHT(E574,13),1)={"A","D","E","F","G","I","L","N","P","R","S","T","V"})),"Ф",""),"")</f>
        <v/>
      </c>
    </row>
    <row r="575" spans="4:9" x14ac:dyDescent="0.3">
      <c r="D575" s="48" t="str">
        <f>CONCATENATE(УЧРЕЖДЕНИЯ!$A$5)</f>
        <v>Допобр</v>
      </c>
      <c r="E575" s="92" t="s">
        <v>403</v>
      </c>
      <c r="F575" s="93">
        <v>291</v>
      </c>
      <c r="G575" s="93">
        <v>853</v>
      </c>
      <c r="H575" s="17" t="s">
        <v>183</v>
      </c>
      <c r="I575" s="93" t="str">
        <f>IF(OR(F575=152,F575=162,F575=510),IF((OR(LEFT(RIGHT(E575,13),1)={"A","D","E","F","G","I","L","N","P","R","S","T","V"})),"Ф",""),"")</f>
        <v/>
      </c>
    </row>
    <row r="576" spans="4:9" x14ac:dyDescent="0.3">
      <c r="D576" s="48" t="str">
        <f>CONCATENATE(УЧРЕЖДЕНИЯ!$A$5)</f>
        <v>Допобр</v>
      </c>
      <c r="E576" s="92" t="s">
        <v>403</v>
      </c>
      <c r="F576" s="93">
        <v>292</v>
      </c>
      <c r="G576" s="93">
        <v>853</v>
      </c>
      <c r="H576" s="17" t="s">
        <v>183</v>
      </c>
      <c r="I576" s="93" t="str">
        <f>IF(OR(F576=152,F576=162,F576=510),IF((OR(LEFT(RIGHT(E576,13),1)={"A","D","E","F","G","I","L","N","P","R","S","T","V"})),"Ф",""),"")</f>
        <v/>
      </c>
    </row>
    <row r="577" spans="4:9" x14ac:dyDescent="0.3">
      <c r="D577" s="48" t="str">
        <f>CONCATENATE(УЧРЕЖДЕНИЯ!$A$5)</f>
        <v>Допобр</v>
      </c>
      <c r="E577" s="92" t="s">
        <v>403</v>
      </c>
      <c r="F577" s="93">
        <v>293</v>
      </c>
      <c r="G577" s="93">
        <v>853</v>
      </c>
      <c r="H577" s="17" t="s">
        <v>183</v>
      </c>
      <c r="I577" s="93" t="str">
        <f>IF(OR(F577=152,F577=162,F577=510),IF((OR(LEFT(RIGHT(E577,13),1)={"A","D","E","F","G","I","L","N","P","R","S","T","V"})),"Ф",""),"")</f>
        <v/>
      </c>
    </row>
    <row r="578" spans="4:9" x14ac:dyDescent="0.3">
      <c r="D578" s="48" t="str">
        <f>CONCATENATE(УЧРЕЖДЕНИЯ!$A$5)</f>
        <v>Допобр</v>
      </c>
      <c r="E578" s="92" t="s">
        <v>405</v>
      </c>
      <c r="F578" s="93">
        <v>131</v>
      </c>
      <c r="G578" s="93">
        <v>130</v>
      </c>
      <c r="H578" s="17" t="s">
        <v>183</v>
      </c>
      <c r="I578" s="93" t="str">
        <f>IF(OR(F578=152,F578=162,F578=510),IF((OR(LEFT(RIGHT(E578,13),1)={"A","D","E","F","G","I","L","N","P","R","S","T","V"})),"Ф",""),"")</f>
        <v/>
      </c>
    </row>
    <row r="579" spans="4:9" x14ac:dyDescent="0.3">
      <c r="D579" s="48" t="str">
        <f>CONCATENATE(УЧРЕЖДЕНИЯ!$A$5)</f>
        <v>Допобр</v>
      </c>
      <c r="E579" s="92" t="s">
        <v>406</v>
      </c>
      <c r="F579" s="93">
        <v>211</v>
      </c>
      <c r="G579" s="93">
        <v>111</v>
      </c>
      <c r="H579" s="17" t="s">
        <v>183</v>
      </c>
      <c r="I579" s="93" t="str">
        <f>IF(OR(F579=152,F579=162,F579=510),IF((OR(LEFT(RIGHT(E579,13),1)={"A","D","E","F","G","I","L","N","P","R","S","T","V"})),"Ф",""),"")</f>
        <v/>
      </c>
    </row>
    <row r="580" spans="4:9" x14ac:dyDescent="0.3">
      <c r="D580" s="48" t="str">
        <f>CONCATENATE(УЧРЕЖДЕНИЯ!$A$5)</f>
        <v>Допобр</v>
      </c>
      <c r="E580" s="92" t="s">
        <v>407</v>
      </c>
      <c r="F580" s="93">
        <v>213</v>
      </c>
      <c r="G580" s="93">
        <v>119</v>
      </c>
      <c r="H580" s="17" t="s">
        <v>183</v>
      </c>
      <c r="I580" s="93" t="str">
        <f>IF(OR(F580=152,F580=162,F580=510),IF((OR(LEFT(RIGHT(E580,13),1)={"A","D","E","F","G","I","L","N","P","R","S","T","V"})),"Ф",""),"")</f>
        <v/>
      </c>
    </row>
    <row r="581" spans="4:9" x14ac:dyDescent="0.3">
      <c r="D581" s="48" t="str">
        <f>CONCATENATE(УЧРЕЖДЕНИЯ!$A$5)</f>
        <v>Допобр</v>
      </c>
      <c r="E581" s="92" t="s">
        <v>404</v>
      </c>
      <c r="F581" s="93">
        <v>510</v>
      </c>
      <c r="G581" s="93">
        <v>510</v>
      </c>
      <c r="H581" s="17" t="s">
        <v>183</v>
      </c>
      <c r="I581" s="93" t="str">
        <f>IF(OR(F581=152,F581=162,F581=510),IF((OR(LEFT(RIGHT(E581,13),1)={"A","D","E","F","G","I","L","N","P","R","S","T","V"})),"Ф",""),"")</f>
        <v/>
      </c>
    </row>
    <row r="582" spans="4:9" x14ac:dyDescent="0.3">
      <c r="D582" s="48" t="str">
        <f>CONCATENATE(УЧРЕЖДЕНИЯ!$A$5)</f>
        <v>Допобр</v>
      </c>
      <c r="E582" s="92" t="s">
        <v>869</v>
      </c>
      <c r="F582" s="93">
        <v>131</v>
      </c>
      <c r="G582" s="93">
        <v>130</v>
      </c>
      <c r="H582" s="17" t="s">
        <v>183</v>
      </c>
      <c r="I582" s="93" t="str">
        <f>IF(OR(F582=152,F582=162,F582=510),IF((OR(LEFT(RIGHT(E582,13),1)={"A","D","E","F","G","I","L","N","P","R","S","T","V"})),"Ф",""),"")</f>
        <v/>
      </c>
    </row>
    <row r="583" spans="4:9" x14ac:dyDescent="0.3">
      <c r="D583" s="48" t="str">
        <f>CONCATENATE(УЧРЕЖДЕНИЯ!$A$5)</f>
        <v>Допобр</v>
      </c>
      <c r="E583" s="92" t="s">
        <v>870</v>
      </c>
      <c r="F583" s="93">
        <v>211</v>
      </c>
      <c r="G583" s="93">
        <v>111</v>
      </c>
      <c r="H583" s="17" t="s">
        <v>183</v>
      </c>
      <c r="I583" s="93" t="str">
        <f>IF(OR(F583=152,F583=162,F583=510),IF((OR(LEFT(RIGHT(E583,13),1)={"A","D","E","F","G","I","L","N","P","R","S","T","V"})),"Ф",""),"")</f>
        <v/>
      </c>
    </row>
    <row r="584" spans="4:9" x14ac:dyDescent="0.3">
      <c r="D584" s="48" t="str">
        <f>CONCATENATE(УЧРЕЖДЕНИЯ!$A$5)</f>
        <v>Допобр</v>
      </c>
      <c r="E584" s="92" t="s">
        <v>871</v>
      </c>
      <c r="F584" s="93">
        <v>213</v>
      </c>
      <c r="G584" s="93">
        <v>119</v>
      </c>
      <c r="H584" s="17" t="s">
        <v>183</v>
      </c>
      <c r="I584" s="93" t="str">
        <f>IF(OR(F584=152,F584=162,F584=510),IF((OR(LEFT(RIGHT(E584,13),1)={"A","D","E","F","G","I","L","N","P","R","S","T","V"})),"Ф",""),"")</f>
        <v/>
      </c>
    </row>
    <row r="585" spans="4:9" x14ac:dyDescent="0.3">
      <c r="D585" s="48" t="str">
        <f>CONCATENATE(УЧРЕЖДЕНИЯ!$A$5)</f>
        <v>Допобр</v>
      </c>
      <c r="E585" s="92" t="s">
        <v>408</v>
      </c>
      <c r="F585" s="93">
        <v>131</v>
      </c>
      <c r="G585" s="93">
        <v>130</v>
      </c>
      <c r="H585" s="17" t="s">
        <v>183</v>
      </c>
      <c r="I585" s="93" t="str">
        <f>IF(OR(F585=152,F585=162,F585=510),IF((OR(LEFT(RIGHT(E585,13),1)={"A","D","E","F","G","I","L","N","P","R","S","T","V"})),"Ф",""),"")</f>
        <v/>
      </c>
    </row>
    <row r="586" spans="4:9" x14ac:dyDescent="0.3">
      <c r="D586" s="48" t="str">
        <f>CONCATENATE(УЧРЕЖДЕНИЯ!$A$5)</f>
        <v>Допобр</v>
      </c>
      <c r="E586" s="92" t="s">
        <v>409</v>
      </c>
      <c r="F586" s="93">
        <v>211</v>
      </c>
      <c r="G586" s="93">
        <v>111</v>
      </c>
      <c r="H586" s="17" t="s">
        <v>183</v>
      </c>
      <c r="I586" s="93" t="str">
        <f>IF(OR(F586=152,F586=162,F586=510),IF((OR(LEFT(RIGHT(E586,13),1)={"A","D","E","F","G","I","L","N","P","R","S","T","V"})),"Ф",""),"")</f>
        <v/>
      </c>
    </row>
    <row r="587" spans="4:9" x14ac:dyDescent="0.3">
      <c r="D587" s="48" t="str">
        <f>CONCATENATE(УЧРЕЖДЕНИЯ!$A$5)</f>
        <v>Допобр</v>
      </c>
      <c r="E587" s="92" t="s">
        <v>410</v>
      </c>
      <c r="F587" s="93">
        <v>213</v>
      </c>
      <c r="G587" s="93">
        <v>119</v>
      </c>
      <c r="H587" s="17" t="s">
        <v>183</v>
      </c>
      <c r="I587" s="93" t="str">
        <f>IF(OR(F587=152,F587=162,F587=510),IF((OR(LEFT(RIGHT(E587,13),1)={"A","D","E","F","G","I","L","N","P","R","S","T","V"})),"Ф",""),"")</f>
        <v/>
      </c>
    </row>
    <row r="588" spans="4:9" x14ac:dyDescent="0.3">
      <c r="D588" s="48" t="str">
        <f>CONCATENATE(УЧРЕЖДЕНИЯ!$A$5)</f>
        <v>Допобр</v>
      </c>
      <c r="E588" s="92" t="s">
        <v>411</v>
      </c>
      <c r="F588" s="93">
        <v>226</v>
      </c>
      <c r="G588" s="93">
        <v>244</v>
      </c>
      <c r="H588" s="17" t="s">
        <v>183</v>
      </c>
      <c r="I588" s="93" t="str">
        <f>IF(OR(F588=152,F588=162,F588=510),IF((OR(LEFT(RIGHT(E588,13),1)={"A","D","E","F","G","I","L","N","P","R","S","T","V"})),"Ф",""),"")</f>
        <v/>
      </c>
    </row>
    <row r="589" spans="4:9" x14ac:dyDescent="0.3">
      <c r="D589" s="48" t="str">
        <f>CONCATENATE(УЧРЕЖДЕНИЯ!$A$5)</f>
        <v>Допобр</v>
      </c>
      <c r="E589" s="92" t="s">
        <v>411</v>
      </c>
      <c r="F589" s="93">
        <v>310</v>
      </c>
      <c r="G589" s="93">
        <v>244</v>
      </c>
      <c r="H589" s="17" t="s">
        <v>183</v>
      </c>
      <c r="I589" s="93" t="str">
        <f>IF(OR(F589=152,F589=162,F589=510),IF((OR(LEFT(RIGHT(E589,13),1)={"A","D","E","F","G","I","L","N","P","R","S","T","V"})),"Ф",""),"")</f>
        <v/>
      </c>
    </row>
    <row r="590" spans="4:9" x14ac:dyDescent="0.3">
      <c r="D590" s="48" t="str">
        <f>CONCATENATE(УЧРЕЖДЕНИЯ!$A$5)</f>
        <v>Допобр</v>
      </c>
      <c r="E590" s="92" t="s">
        <v>411</v>
      </c>
      <c r="F590" s="93">
        <v>344</v>
      </c>
      <c r="G590" s="93">
        <v>244</v>
      </c>
      <c r="H590" s="17" t="s">
        <v>183</v>
      </c>
      <c r="I590" s="93" t="str">
        <f>IF(OR(F590=152,F590=162,F590=510),IF((OR(LEFT(RIGHT(E590,13),1)={"A","D","E","F","G","I","L","N","P","R","S","T","V"})),"Ф",""),"")</f>
        <v/>
      </c>
    </row>
    <row r="591" spans="4:9" x14ac:dyDescent="0.3">
      <c r="D591" s="48" t="str">
        <f>CONCATENATE(УЧРЕЖДЕНИЯ!$A$5)</f>
        <v>Допобр</v>
      </c>
      <c r="E591" s="92" t="s">
        <v>411</v>
      </c>
      <c r="F591" s="93">
        <v>346</v>
      </c>
      <c r="G591" s="93">
        <v>244</v>
      </c>
      <c r="H591" s="17" t="s">
        <v>183</v>
      </c>
      <c r="I591" s="93" t="str">
        <f>IF(OR(F591=152,F591=162,F591=510),IF((OR(LEFT(RIGHT(E591,13),1)={"A","D","E","F","G","I","L","N","P","R","S","T","V"})),"Ф",""),"")</f>
        <v/>
      </c>
    </row>
    <row r="592" spans="4:9" x14ac:dyDescent="0.3">
      <c r="D592" s="48" t="str">
        <f>CONCATENATE(УЧРЕЖДЕНИЯ!$A$5)</f>
        <v>Допобр</v>
      </c>
      <c r="E592" s="92" t="s">
        <v>797</v>
      </c>
      <c r="F592" s="93">
        <v>510</v>
      </c>
      <c r="G592" s="93">
        <v>510</v>
      </c>
      <c r="H592" s="17" t="s">
        <v>183</v>
      </c>
      <c r="I592" s="93" t="str">
        <f>IF(OR(F592=152,F592=162,F592=510),IF((OR(LEFT(RIGHT(E592,13),1)={"A","D","E","F","G","I","L","N","P","R","S","T","V"})),"Ф",""),"")</f>
        <v/>
      </c>
    </row>
    <row r="593" spans="2:9" x14ac:dyDescent="0.3">
      <c r="D593" s="48" t="str">
        <f>CONCATENATE(УЧРЕЖДЕНИЯ!$A$5)</f>
        <v>Допобр</v>
      </c>
      <c r="E593" s="92" t="s">
        <v>813</v>
      </c>
      <c r="F593" s="93">
        <v>610</v>
      </c>
      <c r="G593" s="93">
        <v>610</v>
      </c>
      <c r="H593" s="17" t="s">
        <v>183</v>
      </c>
      <c r="I593" s="93" t="str">
        <f>IF(OR(F593=152,F593=162,F593=510),IF((OR(LEFT(RIGHT(E593,13),1)={"A","D","E","F","G","I","L","N","P","R","S","T","V"})),"Ф",""),"")</f>
        <v/>
      </c>
    </row>
    <row r="594" spans="2:9" x14ac:dyDescent="0.3">
      <c r="B594" s="48" t="s">
        <v>707</v>
      </c>
      <c r="C594" s="48" t="s">
        <v>132</v>
      </c>
      <c r="D594" s="48" t="str">
        <f>CONCATENATE(УЧРЕЖДЕНИЯ!$A$6)</f>
        <v>благоустройство</v>
      </c>
      <c r="E594" s="92" t="s">
        <v>414</v>
      </c>
      <c r="F594" s="93">
        <v>131</v>
      </c>
      <c r="G594" s="93">
        <v>130</v>
      </c>
      <c r="H594" s="17" t="s">
        <v>184</v>
      </c>
      <c r="I594" s="93" t="str">
        <f>IF(OR(F594=152,F594=162,F594=510),IF((OR(LEFT(RIGHT(E594,13),1)={"A","D","E","F","G","I","L","N","P","R","S","T","V"})),"Ф",""),"")</f>
        <v/>
      </c>
    </row>
    <row r="595" spans="2:9" x14ac:dyDescent="0.3">
      <c r="D595" s="48" t="str">
        <f>CONCATENATE(УЧРЕЖДЕНИЯ!$A$6)</f>
        <v>благоустройство</v>
      </c>
      <c r="E595" s="92" t="s">
        <v>415</v>
      </c>
      <c r="F595" s="93">
        <v>211</v>
      </c>
      <c r="G595" s="93">
        <v>111</v>
      </c>
      <c r="H595" s="17" t="s">
        <v>184</v>
      </c>
      <c r="I595" s="93" t="str">
        <f>IF(OR(F595=152,F595=162,F595=510),IF((OR(LEFT(RIGHT(E595,13),1)={"A","D","E","F","G","I","L","N","P","R","S","T","V"})),"Ф",""),"")</f>
        <v/>
      </c>
    </row>
    <row r="596" spans="2:9" x14ac:dyDescent="0.3">
      <c r="D596" s="48" t="str">
        <f>CONCATENATE(УЧРЕЖДЕНИЯ!$A$6)</f>
        <v>благоустройство</v>
      </c>
      <c r="E596" s="92" t="s">
        <v>416</v>
      </c>
      <c r="F596" s="93">
        <v>213</v>
      </c>
      <c r="G596" s="93">
        <v>119</v>
      </c>
      <c r="H596" s="17" t="s">
        <v>184</v>
      </c>
      <c r="I596" s="93" t="str">
        <f>IF(OR(F596=152,F596=162,F596=510),IF((OR(LEFT(RIGHT(E596,13),1)={"A","D","E","F","G","I","L","N","P","R","S","T","V"})),"Ф",""),"")</f>
        <v/>
      </c>
    </row>
    <row r="597" spans="2:9" x14ac:dyDescent="0.3">
      <c r="D597" s="48" t="str">
        <f>CONCATENATE(УЧРЕЖДЕНИЯ!$A$6)</f>
        <v>благоустройство</v>
      </c>
      <c r="E597" s="92" t="s">
        <v>417</v>
      </c>
      <c r="F597" s="93">
        <v>225</v>
      </c>
      <c r="G597" s="93">
        <v>244</v>
      </c>
      <c r="H597" s="17" t="s">
        <v>184</v>
      </c>
      <c r="I597" s="93" t="str">
        <f>IF(OR(F597=152,F597=162,F597=510),IF((OR(LEFT(RIGHT(E597,13),1)={"A","D","E","F","G","I","L","N","P","R","S","T","V"})),"Ф",""),"")</f>
        <v/>
      </c>
    </row>
    <row r="598" spans="2:9" x14ac:dyDescent="0.3">
      <c r="D598" s="48" t="str">
        <f>CONCATENATE(УЧРЕЖДЕНИЯ!$A$6)</f>
        <v>благоустройство</v>
      </c>
      <c r="E598" s="92" t="s">
        <v>417</v>
      </c>
      <c r="F598" s="93">
        <v>226</v>
      </c>
      <c r="G598" s="93">
        <v>244</v>
      </c>
      <c r="H598" s="17" t="s">
        <v>184</v>
      </c>
      <c r="I598" s="93" t="str">
        <f>IF(OR(F598=152,F598=162,F598=510),IF((OR(LEFT(RIGHT(E598,13),1)={"A","D","E","F","G","I","L","N","P","R","S","T","V"})),"Ф",""),"")</f>
        <v/>
      </c>
    </row>
    <row r="599" spans="2:9" x14ac:dyDescent="0.3">
      <c r="D599" s="48" t="str">
        <f>CONCATENATE(УЧРЕЖДЕНИЯ!$A$6)</f>
        <v>благоустройство</v>
      </c>
      <c r="E599" s="92" t="s">
        <v>417</v>
      </c>
      <c r="F599" s="93">
        <v>310</v>
      </c>
      <c r="G599" s="93">
        <v>244</v>
      </c>
      <c r="H599" s="17" t="s">
        <v>184</v>
      </c>
      <c r="I599" s="93" t="str">
        <f>IF(OR(F599=152,F599=162,F599=510),IF((OR(LEFT(RIGHT(E599,13),1)={"A","D","E","F","G","I","L","N","P","R","S","T","V"})),"Ф",""),"")</f>
        <v/>
      </c>
    </row>
    <row r="600" spans="2:9" x14ac:dyDescent="0.3">
      <c r="D600" s="48" t="str">
        <f>CONCATENATE(УЧРЕЖДЕНИЯ!$A$6)</f>
        <v>благоустройство</v>
      </c>
      <c r="E600" s="92" t="s">
        <v>417</v>
      </c>
      <c r="F600" s="93">
        <v>343</v>
      </c>
      <c r="G600" s="93">
        <v>244</v>
      </c>
      <c r="H600" s="17" t="s">
        <v>184</v>
      </c>
      <c r="I600" s="93" t="str">
        <f>IF(OR(F600=152,F600=162,F600=510),IF((OR(LEFT(RIGHT(E600,13),1)={"A","D","E","F","G","I","L","N","P","R","S","T","V"})),"Ф",""),"")</f>
        <v/>
      </c>
    </row>
    <row r="601" spans="2:9" x14ac:dyDescent="0.3">
      <c r="D601" s="48" t="str">
        <f>CONCATENATE(УЧРЕЖДЕНИЯ!$A$6)</f>
        <v>благоустройство</v>
      </c>
      <c r="E601" s="92" t="s">
        <v>417</v>
      </c>
      <c r="F601" s="93">
        <v>346</v>
      </c>
      <c r="G601" s="93">
        <v>244</v>
      </c>
      <c r="H601" s="17" t="s">
        <v>184</v>
      </c>
      <c r="I601" s="93" t="str">
        <f>IF(OR(F601=152,F601=162,F601=510),IF((OR(LEFT(RIGHT(E601,13),1)={"A","D","E","F","G","I","L","N","P","R","S","T","V"})),"Ф",""),"")</f>
        <v/>
      </c>
    </row>
    <row r="602" spans="2:9" x14ac:dyDescent="0.3">
      <c r="D602" s="48" t="str">
        <f>CONCATENATE(УЧРЕЖДЕНИЯ!$A$6)</f>
        <v>благоустройство</v>
      </c>
      <c r="E602" s="92" t="s">
        <v>413</v>
      </c>
      <c r="F602" s="93">
        <v>510</v>
      </c>
      <c r="G602" s="93">
        <v>510</v>
      </c>
      <c r="H602" s="17" t="s">
        <v>184</v>
      </c>
      <c r="I602" s="93" t="str">
        <f>IF(OR(F602=152,F602=162,F602=510),IF((OR(LEFT(RIGHT(E602,13),1)={"A","D","E","F","G","I","L","N","P","R","S","T","V"})),"Ф",""),"")</f>
        <v/>
      </c>
    </row>
    <row r="603" spans="2:9" x14ac:dyDescent="0.3">
      <c r="D603" s="48" t="str">
        <f>CONCATENATE(УЧРЕЖДЕНИЯ!$A$6)</f>
        <v>благоустройство</v>
      </c>
      <c r="E603" s="92" t="s">
        <v>419</v>
      </c>
      <c r="F603" s="93">
        <v>131</v>
      </c>
      <c r="G603" s="93">
        <v>130</v>
      </c>
      <c r="H603" s="17" t="s">
        <v>185</v>
      </c>
      <c r="I603" s="93" t="str">
        <f>IF(OR(F603=152,F603=162,F603=510),IF((OR(LEFT(RIGHT(E603,13),1)={"A","D","E","F","G","I","L","N","P","R","S","T","V"})),"Ф",""),"")</f>
        <v/>
      </c>
    </row>
    <row r="604" spans="2:9" x14ac:dyDescent="0.3">
      <c r="D604" s="48" t="str">
        <f>CONCATENATE(УЧРЕЖДЕНИЯ!$A$6)</f>
        <v>благоустройство</v>
      </c>
      <c r="E604" s="92" t="s">
        <v>420</v>
      </c>
      <c r="F604" s="93">
        <v>211</v>
      </c>
      <c r="G604" s="93">
        <v>111</v>
      </c>
      <c r="H604" s="17" t="s">
        <v>185</v>
      </c>
      <c r="I604" s="93" t="str">
        <f>IF(OR(F604=152,F604=162,F604=510),IF((OR(LEFT(RIGHT(E604,13),1)={"A","D","E","F","G","I","L","N","P","R","S","T","V"})),"Ф",""),"")</f>
        <v/>
      </c>
    </row>
    <row r="605" spans="2:9" x14ac:dyDescent="0.3">
      <c r="D605" s="48" t="str">
        <f>CONCATENATE(УЧРЕЖДЕНИЯ!$A$6)</f>
        <v>благоустройство</v>
      </c>
      <c r="E605" s="92" t="s">
        <v>421</v>
      </c>
      <c r="F605" s="93">
        <v>213</v>
      </c>
      <c r="G605" s="93">
        <v>119</v>
      </c>
      <c r="H605" s="17" t="s">
        <v>185</v>
      </c>
      <c r="I605" s="93" t="str">
        <f>IF(OR(F605=152,F605=162,F605=510),IF((OR(LEFT(RIGHT(E605,13),1)={"A","D","E","F","G","I","L","N","P","R","S","T","V"})),"Ф",""),"")</f>
        <v/>
      </c>
    </row>
    <row r="606" spans="2:9" x14ac:dyDescent="0.3">
      <c r="D606" s="48" t="str">
        <f>CONCATENATE(УЧРЕЖДЕНИЯ!$A$6)</f>
        <v>благоустройство</v>
      </c>
      <c r="E606" s="92" t="s">
        <v>422</v>
      </c>
      <c r="F606" s="93">
        <v>225</v>
      </c>
      <c r="G606" s="93">
        <v>244</v>
      </c>
      <c r="H606" s="17" t="s">
        <v>185</v>
      </c>
      <c r="I606" s="93" t="str">
        <f>IF(OR(F606=152,F606=162,F606=510),IF((OR(LEFT(RIGHT(E606,13),1)={"A","D","E","F","G","I","L","N","P","R","S","T","V"})),"Ф",""),"")</f>
        <v/>
      </c>
    </row>
    <row r="607" spans="2:9" x14ac:dyDescent="0.3">
      <c r="D607" s="48" t="str">
        <f>CONCATENATE(УЧРЕЖДЕНИЯ!$A$6)</f>
        <v>благоустройство</v>
      </c>
      <c r="E607" s="92" t="s">
        <v>422</v>
      </c>
      <c r="F607" s="93">
        <v>226</v>
      </c>
      <c r="G607" s="93">
        <v>244</v>
      </c>
      <c r="H607" s="17" t="s">
        <v>185</v>
      </c>
      <c r="I607" s="93" t="str">
        <f>IF(OR(F607=152,F607=162,F607=510),IF((OR(LEFT(RIGHT(E607,13),1)={"A","D","E","F","G","I","L","N","P","R","S","T","V"})),"Ф",""),"")</f>
        <v/>
      </c>
    </row>
    <row r="608" spans="2:9" x14ac:dyDescent="0.3">
      <c r="D608" s="48" t="str">
        <f>CONCATENATE(УЧРЕЖДЕНИЯ!$A$6)</f>
        <v>благоустройство</v>
      </c>
      <c r="E608" s="92" t="s">
        <v>422</v>
      </c>
      <c r="F608" s="93">
        <v>310</v>
      </c>
      <c r="G608" s="93">
        <v>244</v>
      </c>
      <c r="H608" s="17" t="s">
        <v>185</v>
      </c>
      <c r="I608" s="93" t="str">
        <f>IF(OR(F608=152,F608=162,F608=510),IF((OR(LEFT(RIGHT(E608,13),1)={"A","D","E","F","G","I","L","N","P","R","S","T","V"})),"Ф",""),"")</f>
        <v/>
      </c>
    </row>
    <row r="609" spans="4:9" x14ac:dyDescent="0.3">
      <c r="D609" s="48" t="str">
        <f>CONCATENATE(УЧРЕЖДЕНИЯ!$A$6)</f>
        <v>благоустройство</v>
      </c>
      <c r="E609" s="92" t="s">
        <v>422</v>
      </c>
      <c r="F609" s="93">
        <v>343</v>
      </c>
      <c r="G609" s="93">
        <v>244</v>
      </c>
      <c r="H609" s="17" t="s">
        <v>185</v>
      </c>
      <c r="I609" s="93" t="str">
        <f>IF(OR(F609=152,F609=162,F609=510),IF((OR(LEFT(RIGHT(E609,13),1)={"A","D","E","F","G","I","L","N","P","R","S","T","V"})),"Ф",""),"")</f>
        <v/>
      </c>
    </row>
    <row r="610" spans="4:9" x14ac:dyDescent="0.3">
      <c r="D610" s="48" t="str">
        <f>CONCATENATE(УЧРЕЖДЕНИЯ!$A$6)</f>
        <v>благоустройство</v>
      </c>
      <c r="E610" s="92" t="s">
        <v>422</v>
      </c>
      <c r="F610" s="93">
        <v>346</v>
      </c>
      <c r="G610" s="93">
        <v>244</v>
      </c>
      <c r="H610" s="17" t="s">
        <v>185</v>
      </c>
      <c r="I610" s="93" t="str">
        <f>IF(OR(F610=152,F610=162,F610=510),IF((OR(LEFT(RIGHT(E610,13),1)={"A","D","E","F","G","I","L","N","P","R","S","T","V"})),"Ф",""),"")</f>
        <v/>
      </c>
    </row>
    <row r="611" spans="4:9" x14ac:dyDescent="0.3">
      <c r="D611" s="48" t="str">
        <f>CONCATENATE(УЧРЕЖДЕНИЯ!$A$6)</f>
        <v>благоустройство</v>
      </c>
      <c r="E611" s="92" t="s">
        <v>418</v>
      </c>
      <c r="F611" s="93">
        <v>510</v>
      </c>
      <c r="G611" s="93">
        <v>510</v>
      </c>
      <c r="H611" s="17" t="s">
        <v>185</v>
      </c>
      <c r="I611" s="93" t="str">
        <f>IF(OR(F611=152,F611=162,F611=510),IF((OR(LEFT(RIGHT(E611,13),1)={"A","D","E","F","G","I","L","N","P","R","S","T","V"})),"Ф",""),"")</f>
        <v/>
      </c>
    </row>
    <row r="612" spans="4:9" x14ac:dyDescent="0.3">
      <c r="D612" s="48" t="str">
        <f>CONCATENATE(УЧРЕЖДЕНИЯ!$A$6)</f>
        <v>благоустройство</v>
      </c>
      <c r="E612" s="92" t="s">
        <v>424</v>
      </c>
      <c r="F612" s="93">
        <v>131</v>
      </c>
      <c r="G612" s="93">
        <v>130</v>
      </c>
      <c r="H612" s="17" t="s">
        <v>184</v>
      </c>
      <c r="I612" s="93" t="str">
        <f>IF(OR(F612=152,F612=162,F612=510),IF((OR(LEFT(RIGHT(E612,13),1)={"A","D","E","F","G","I","L","N","P","R","S","T","V"})),"Ф",""),"")</f>
        <v/>
      </c>
    </row>
    <row r="613" spans="4:9" x14ac:dyDescent="0.3">
      <c r="D613" s="48" t="str">
        <f>CONCATENATE(УЧРЕЖДЕНИЯ!$A$6)</f>
        <v>благоустройство</v>
      </c>
      <c r="E613" s="92" t="s">
        <v>425</v>
      </c>
      <c r="F613" s="93">
        <v>211</v>
      </c>
      <c r="G613" s="93">
        <v>111</v>
      </c>
      <c r="H613" s="17" t="s">
        <v>184</v>
      </c>
      <c r="I613" s="93" t="str">
        <f>IF(OR(F613=152,F613=162,F613=510),IF((OR(LEFT(RIGHT(E613,13),1)={"A","D","E","F","G","I","L","N","P","R","S","T","V"})),"Ф",""),"")</f>
        <v/>
      </c>
    </row>
    <row r="614" spans="4:9" x14ac:dyDescent="0.3">
      <c r="D614" s="48" t="str">
        <f>CONCATENATE(УЧРЕЖДЕНИЯ!$A$6)</f>
        <v>благоустройство</v>
      </c>
      <c r="E614" s="92" t="s">
        <v>426</v>
      </c>
      <c r="F614" s="93">
        <v>213</v>
      </c>
      <c r="G614" s="93">
        <v>119</v>
      </c>
      <c r="H614" s="17" t="s">
        <v>184</v>
      </c>
      <c r="I614" s="93" t="str">
        <f>IF(OR(F614=152,F614=162,F614=510),IF((OR(LEFT(RIGHT(E614,13),1)={"A","D","E","F","G","I","L","N","P","R","S","T","V"})),"Ф",""),"")</f>
        <v/>
      </c>
    </row>
    <row r="615" spans="4:9" x14ac:dyDescent="0.3">
      <c r="D615" s="48" t="str">
        <f>CONCATENATE(УЧРЕЖДЕНИЯ!$A$6)</f>
        <v>благоустройство</v>
      </c>
      <c r="E615" s="92" t="s">
        <v>427</v>
      </c>
      <c r="F615" s="93">
        <v>222</v>
      </c>
      <c r="G615" s="93">
        <v>244</v>
      </c>
      <c r="H615" s="17" t="s">
        <v>184</v>
      </c>
      <c r="I615" s="93" t="str">
        <f>IF(OR(F615=152,F615=162,F615=510),IF((OR(LEFT(RIGHT(E615,13),1)={"A","D","E","F","G","I","L","N","P","R","S","T","V"})),"Ф",""),"")</f>
        <v/>
      </c>
    </row>
    <row r="616" spans="4:9" x14ac:dyDescent="0.3">
      <c r="D616" s="48" t="str">
        <f>CONCATENATE(УЧРЕЖДЕНИЯ!$A$6)</f>
        <v>благоустройство</v>
      </c>
      <c r="E616" s="92" t="s">
        <v>828</v>
      </c>
      <c r="F616" s="93">
        <v>2234</v>
      </c>
      <c r="G616" s="93">
        <v>244</v>
      </c>
      <c r="H616" s="17" t="s">
        <v>184</v>
      </c>
      <c r="I616" s="93" t="str">
        <f>IF(OR(F616=152,F616=162,F616=510),IF((OR(LEFT(RIGHT(E616,13),1)={"A","D","E","F","G","I","L","N","P","R","S","T","V"})),"Ф",""),"")</f>
        <v/>
      </c>
    </row>
    <row r="617" spans="4:9" x14ac:dyDescent="0.3">
      <c r="D617" s="48" t="str">
        <f>CONCATENATE(УЧРЕЖДЕНИЯ!$A$6)</f>
        <v>благоустройство</v>
      </c>
      <c r="E617" s="92" t="s">
        <v>427</v>
      </c>
      <c r="F617" s="93">
        <v>225</v>
      </c>
      <c r="G617" s="93">
        <v>244</v>
      </c>
      <c r="H617" s="17" t="s">
        <v>184</v>
      </c>
      <c r="I617" s="93" t="str">
        <f>IF(OR(F617=152,F617=162,F617=510),IF((OR(LEFT(RIGHT(E617,13),1)={"A","D","E","F","G","I","L","N","P","R","S","T","V"})),"Ф",""),"")</f>
        <v/>
      </c>
    </row>
    <row r="618" spans="4:9" x14ac:dyDescent="0.3">
      <c r="D618" s="48" t="str">
        <f>CONCATENATE(УЧРЕЖДЕНИЯ!$A$6)</f>
        <v>благоустройство</v>
      </c>
      <c r="E618" s="92" t="s">
        <v>427</v>
      </c>
      <c r="F618" s="93">
        <v>226</v>
      </c>
      <c r="G618" s="93">
        <v>244</v>
      </c>
      <c r="H618" s="17" t="s">
        <v>184</v>
      </c>
      <c r="I618" s="93" t="str">
        <f>IF(OR(F618=152,F618=162,F618=510),IF((OR(LEFT(RIGHT(E618,13),1)={"A","D","E","F","G","I","L","N","P","R","S","T","V"})),"Ф",""),"")</f>
        <v/>
      </c>
    </row>
    <row r="619" spans="4:9" x14ac:dyDescent="0.3">
      <c r="D619" s="48" t="str">
        <f>CONCATENATE(УЧРЕЖДЕНИЯ!$A$6)</f>
        <v>благоустройство</v>
      </c>
      <c r="E619" s="92" t="s">
        <v>427</v>
      </c>
      <c r="F619" s="93">
        <v>310</v>
      </c>
      <c r="G619" s="93">
        <v>244</v>
      </c>
      <c r="H619" s="17" t="s">
        <v>184</v>
      </c>
      <c r="I619" s="93" t="str">
        <f>IF(OR(F619=152,F619=162,F619=510),IF((OR(LEFT(RIGHT(E619,13),1)={"A","D","E","F","G","I","L","N","P","R","S","T","V"})),"Ф",""),"")</f>
        <v/>
      </c>
    </row>
    <row r="620" spans="4:9" x14ac:dyDescent="0.3">
      <c r="D620" s="48" t="str">
        <f>CONCATENATE(УЧРЕЖДЕНИЯ!$A$6)</f>
        <v>благоустройство</v>
      </c>
      <c r="E620" s="92" t="s">
        <v>427</v>
      </c>
      <c r="F620" s="93">
        <v>343</v>
      </c>
      <c r="G620" s="93">
        <v>244</v>
      </c>
      <c r="H620" s="17" t="s">
        <v>184</v>
      </c>
      <c r="I620" s="93" t="str">
        <f>IF(OR(F620=152,F620=162,F620=510),IF((OR(LEFT(RIGHT(E620,13),1)={"A","D","E","F","G","I","L","N","P","R","S","T","V"})),"Ф",""),"")</f>
        <v/>
      </c>
    </row>
    <row r="621" spans="4:9" x14ac:dyDescent="0.3">
      <c r="D621" s="48" t="str">
        <f>CONCATENATE(УЧРЕЖДЕНИЯ!$A$6)</f>
        <v>благоустройство</v>
      </c>
      <c r="E621" s="92" t="s">
        <v>427</v>
      </c>
      <c r="F621" s="93">
        <v>346</v>
      </c>
      <c r="G621" s="93">
        <v>244</v>
      </c>
      <c r="H621" s="17" t="s">
        <v>184</v>
      </c>
      <c r="I621" s="93" t="str">
        <f>IF(OR(F621=152,F621=162,F621=510),IF((OR(LEFT(RIGHT(E621,13),1)={"A","D","E","F","G","I","L","N","P","R","S","T","V"})),"Ф",""),"")</f>
        <v/>
      </c>
    </row>
    <row r="622" spans="4:9" x14ac:dyDescent="0.3">
      <c r="D622" s="48" t="str">
        <f>CONCATENATE(УЧРЕЖДЕНИЯ!$A$6)</f>
        <v>благоустройство</v>
      </c>
      <c r="E622" s="92" t="s">
        <v>423</v>
      </c>
      <c r="F622" s="93">
        <v>510</v>
      </c>
      <c r="G622" s="93">
        <v>510</v>
      </c>
      <c r="H622" s="17" t="s">
        <v>184</v>
      </c>
      <c r="I622" s="93" t="str">
        <f>IF(OR(F622=152,F622=162,F622=510),IF((OR(LEFT(RIGHT(E622,13),1)={"A","D","E","F","G","I","L","N","P","R","S","T","V"})),"Ф",""),"")</f>
        <v/>
      </c>
    </row>
    <row r="623" spans="4:9" x14ac:dyDescent="0.3">
      <c r="D623" s="48" t="str">
        <f>CONCATENATE(УЧРЕЖДЕНИЯ!$A$6)</f>
        <v>благоустройство</v>
      </c>
      <c r="E623" s="92" t="s">
        <v>429</v>
      </c>
      <c r="F623" s="93">
        <v>131</v>
      </c>
      <c r="G623" s="93">
        <v>130</v>
      </c>
      <c r="H623" s="17" t="s">
        <v>184</v>
      </c>
      <c r="I623" s="93" t="str">
        <f>IF(OR(F623=152,F623=162,F623=510),IF((OR(LEFT(RIGHT(E623,13),1)={"A","D","E","F","G","I","L","N","P","R","S","T","V"})),"Ф",""),"")</f>
        <v/>
      </c>
    </row>
    <row r="624" spans="4:9" x14ac:dyDescent="0.3">
      <c r="D624" s="48" t="str">
        <f>CONCATENATE(УЧРЕЖДЕНИЯ!$A$6)</f>
        <v>благоустройство</v>
      </c>
      <c r="E624" s="92" t="s">
        <v>430</v>
      </c>
      <c r="F624" s="93">
        <v>211</v>
      </c>
      <c r="G624" s="93">
        <v>111</v>
      </c>
      <c r="H624" s="17" t="s">
        <v>184</v>
      </c>
      <c r="I624" s="93" t="str">
        <f>IF(OR(F624=152,F624=162,F624=510),IF((OR(LEFT(RIGHT(E624,13),1)={"A","D","E","F","G","I","L","N","P","R","S","T","V"})),"Ф",""),"")</f>
        <v/>
      </c>
    </row>
    <row r="625" spans="4:9" x14ac:dyDescent="0.3">
      <c r="D625" s="48" t="str">
        <f>CONCATENATE(УЧРЕЖДЕНИЯ!$A$6)</f>
        <v>благоустройство</v>
      </c>
      <c r="E625" s="92" t="s">
        <v>431</v>
      </c>
      <c r="F625" s="93">
        <v>213</v>
      </c>
      <c r="G625" s="93">
        <v>119</v>
      </c>
      <c r="H625" s="17" t="s">
        <v>184</v>
      </c>
      <c r="I625" s="93" t="str">
        <f>IF(OR(F625=152,F625=162,F625=510),IF((OR(LEFT(RIGHT(E625,13),1)={"A","D","E","F","G","I","L","N","P","R","S","T","V"})),"Ф",""),"")</f>
        <v/>
      </c>
    </row>
    <row r="626" spans="4:9" x14ac:dyDescent="0.3">
      <c r="D626" s="48" t="str">
        <f>CONCATENATE(УЧРЕЖДЕНИЯ!$A$6)</f>
        <v>благоустройство</v>
      </c>
      <c r="E626" s="92" t="s">
        <v>432</v>
      </c>
      <c r="F626" s="93">
        <v>225</v>
      </c>
      <c r="G626" s="93">
        <v>244</v>
      </c>
      <c r="H626" s="17" t="s">
        <v>184</v>
      </c>
      <c r="I626" s="93" t="str">
        <f>IF(OR(F626=152,F626=162,F626=510),IF((OR(LEFT(RIGHT(E626,13),1)={"A","D","E","F","G","I","L","N","P","R","S","T","V"})),"Ф",""),"")</f>
        <v/>
      </c>
    </row>
    <row r="627" spans="4:9" x14ac:dyDescent="0.3">
      <c r="D627" s="48" t="str">
        <f>CONCATENATE(УЧРЕЖДЕНИЯ!$A$6)</f>
        <v>благоустройство</v>
      </c>
      <c r="E627" s="92" t="s">
        <v>432</v>
      </c>
      <c r="F627" s="93">
        <v>226</v>
      </c>
      <c r="G627" s="93">
        <v>244</v>
      </c>
      <c r="H627" s="17" t="s">
        <v>184</v>
      </c>
      <c r="I627" s="93" t="str">
        <f>IF(OR(F627=152,F627=162,F627=510),IF((OR(LEFT(RIGHT(E627,13),1)={"A","D","E","F","G","I","L","N","P","R","S","T","V"})),"Ф",""),"")</f>
        <v/>
      </c>
    </row>
    <row r="628" spans="4:9" x14ac:dyDescent="0.3">
      <c r="D628" s="48" t="str">
        <f>CONCATENATE(УЧРЕЖДЕНИЯ!$A$6)</f>
        <v>благоустройство</v>
      </c>
      <c r="E628" s="92" t="s">
        <v>432</v>
      </c>
      <c r="F628" s="93">
        <v>310</v>
      </c>
      <c r="G628" s="93">
        <v>244</v>
      </c>
      <c r="H628" s="17" t="s">
        <v>184</v>
      </c>
      <c r="I628" s="93" t="str">
        <f>IF(OR(F628=152,F628=162,F628=510),IF((OR(LEFT(RIGHT(E628,13),1)={"A","D","E","F","G","I","L","N","P","R","S","T","V"})),"Ф",""),"")</f>
        <v/>
      </c>
    </row>
    <row r="629" spans="4:9" x14ac:dyDescent="0.3">
      <c r="D629" s="48" t="str">
        <f>CONCATENATE(УЧРЕЖДЕНИЯ!$A$6)</f>
        <v>благоустройство</v>
      </c>
      <c r="E629" s="92" t="s">
        <v>432</v>
      </c>
      <c r="F629" s="93">
        <v>343</v>
      </c>
      <c r="G629" s="93">
        <v>244</v>
      </c>
      <c r="H629" s="17" t="s">
        <v>184</v>
      </c>
      <c r="I629" s="93" t="str">
        <f>IF(OR(F629=152,F629=162,F629=510),IF((OR(LEFT(RIGHT(E629,13),1)={"A","D","E","F","G","I","L","N","P","R","S","T","V"})),"Ф",""),"")</f>
        <v/>
      </c>
    </row>
    <row r="630" spans="4:9" x14ac:dyDescent="0.3">
      <c r="D630" s="48" t="str">
        <f>CONCATENATE(УЧРЕЖДЕНИЯ!$A$6)</f>
        <v>благоустройство</v>
      </c>
      <c r="E630" s="92" t="s">
        <v>432</v>
      </c>
      <c r="F630" s="93">
        <v>346</v>
      </c>
      <c r="G630" s="93">
        <v>244</v>
      </c>
      <c r="H630" s="17" t="s">
        <v>184</v>
      </c>
      <c r="I630" s="93" t="str">
        <f>IF(OR(F630=152,F630=162,F630=510),IF((OR(LEFT(RIGHT(E630,13),1)={"A","D","E","F","G","I","L","N","P","R","S","T","V"})),"Ф",""),"")</f>
        <v/>
      </c>
    </row>
    <row r="631" spans="4:9" x14ac:dyDescent="0.3">
      <c r="D631" s="48" t="str">
        <f>CONCATENATE(УЧРЕЖДЕНИЯ!$A$6)</f>
        <v>благоустройство</v>
      </c>
      <c r="E631" s="92" t="s">
        <v>428</v>
      </c>
      <c r="F631" s="93">
        <v>510</v>
      </c>
      <c r="G631" s="93">
        <v>510</v>
      </c>
      <c r="H631" s="17" t="s">
        <v>184</v>
      </c>
      <c r="I631" s="93" t="str">
        <f>IF(OR(F631=152,F631=162,F631=510),IF((OR(LEFT(RIGHT(E631,13),1)={"A","D","E","F","G","I","L","N","P","R","S","T","V"})),"Ф",""),"")</f>
        <v/>
      </c>
    </row>
    <row r="632" spans="4:9" x14ac:dyDescent="0.3">
      <c r="D632" s="48" t="str">
        <f>CONCATENATE(УЧРЕЖДЕНИЯ!$A$6)</f>
        <v>благоустройство</v>
      </c>
      <c r="E632" s="92" t="s">
        <v>434</v>
      </c>
      <c r="F632" s="93">
        <v>131</v>
      </c>
      <c r="G632" s="93">
        <v>130</v>
      </c>
      <c r="H632" s="17" t="s">
        <v>184</v>
      </c>
      <c r="I632" s="93" t="str">
        <f>IF(OR(F632=152,F632=162,F632=510),IF((OR(LEFT(RIGHT(E632,13),1)={"A","D","E","F","G","I","L","N","P","R","S","T","V"})),"Ф",""),"")</f>
        <v/>
      </c>
    </row>
    <row r="633" spans="4:9" x14ac:dyDescent="0.3">
      <c r="D633" s="48" t="str">
        <f>CONCATENATE(УЧРЕЖДЕНИЯ!$A$6)</f>
        <v>благоустройство</v>
      </c>
      <c r="E633" s="92" t="s">
        <v>435</v>
      </c>
      <c r="F633" s="93">
        <v>211</v>
      </c>
      <c r="G633" s="93">
        <v>111</v>
      </c>
      <c r="H633" s="17" t="s">
        <v>184</v>
      </c>
      <c r="I633" s="93" t="str">
        <f>IF(OR(F633=152,F633=162,F633=510),IF((OR(LEFT(RIGHT(E633,13),1)={"A","D","E","F","G","I","L","N","P","R","S","T","V"})),"Ф",""),"")</f>
        <v/>
      </c>
    </row>
    <row r="634" spans="4:9" x14ac:dyDescent="0.3">
      <c r="D634" s="48" t="str">
        <f>CONCATENATE(УЧРЕЖДЕНИЯ!$A$6)</f>
        <v>благоустройство</v>
      </c>
      <c r="E634" s="92" t="s">
        <v>436</v>
      </c>
      <c r="F634" s="93">
        <v>213</v>
      </c>
      <c r="G634" s="93">
        <v>119</v>
      </c>
      <c r="H634" s="17" t="s">
        <v>184</v>
      </c>
      <c r="I634" s="93" t="str">
        <f>IF(OR(F634=152,F634=162,F634=510),IF((OR(LEFT(RIGHT(E634,13),1)={"A","D","E","F","G","I","L","N","P","R","S","T","V"})),"Ф",""),"")</f>
        <v/>
      </c>
    </row>
    <row r="635" spans="4:9" x14ac:dyDescent="0.3">
      <c r="D635" s="48" t="str">
        <f>CONCATENATE(УЧРЕЖДЕНИЯ!$A$6)</f>
        <v>благоустройство</v>
      </c>
      <c r="E635" s="92" t="s">
        <v>437</v>
      </c>
      <c r="F635" s="93">
        <v>222</v>
      </c>
      <c r="G635" s="93">
        <v>244</v>
      </c>
      <c r="H635" s="17" t="s">
        <v>184</v>
      </c>
      <c r="I635" s="93" t="str">
        <f>IF(OR(F635=152,F635=162,F635=510),IF((OR(LEFT(RIGHT(E635,13),1)={"A","D","E","F","G","I","L","N","P","R","S","T","V"})),"Ф",""),"")</f>
        <v/>
      </c>
    </row>
    <row r="636" spans="4:9" x14ac:dyDescent="0.3">
      <c r="D636" s="48" t="str">
        <f>CONCATENATE(УЧРЕЖДЕНИЯ!$A$6)</f>
        <v>благоустройство</v>
      </c>
      <c r="E636" s="92" t="s">
        <v>853</v>
      </c>
      <c r="F636" s="93">
        <v>2233</v>
      </c>
      <c r="G636" s="93">
        <v>244</v>
      </c>
      <c r="H636" s="17" t="s">
        <v>184</v>
      </c>
      <c r="I636" s="93" t="str">
        <f>IF(OR(F636=152,F636=162,F636=510),IF((OR(LEFT(RIGHT(E636,13),1)={"A","D","E","F","G","I","L","N","P","R","S","T","V"})),"Ф",""),"")</f>
        <v/>
      </c>
    </row>
    <row r="637" spans="4:9" x14ac:dyDescent="0.3">
      <c r="D637" s="48" t="str">
        <f>CONCATENATE(УЧРЕЖДЕНИЯ!$A$6)</f>
        <v>благоустройство</v>
      </c>
      <c r="E637" s="92" t="s">
        <v>827</v>
      </c>
      <c r="F637" s="93">
        <v>2234</v>
      </c>
      <c r="G637" s="93">
        <v>244</v>
      </c>
      <c r="H637" s="17" t="s">
        <v>184</v>
      </c>
      <c r="I637" s="93" t="str">
        <f>IF(OR(F637=152,F637=162,F637=510),IF((OR(LEFT(RIGHT(E637,13),1)={"A","D","E","F","G","I","L","N","P","R","S","T","V"})),"Ф",""),"")</f>
        <v/>
      </c>
    </row>
    <row r="638" spans="4:9" x14ac:dyDescent="0.3">
      <c r="D638" s="48" t="str">
        <f>CONCATENATE(УЧРЕЖДЕНИЯ!$A$6)</f>
        <v>благоустройство</v>
      </c>
      <c r="E638" s="92" t="s">
        <v>437</v>
      </c>
      <c r="F638" s="93">
        <v>225</v>
      </c>
      <c r="G638" s="93">
        <v>244</v>
      </c>
      <c r="H638" s="17" t="s">
        <v>184</v>
      </c>
      <c r="I638" s="93" t="str">
        <f>IF(OR(F638=152,F638=162,F638=510),IF((OR(LEFT(RIGHT(E638,13),1)={"A","D","E","F","G","I","L","N","P","R","S","T","V"})),"Ф",""),"")</f>
        <v/>
      </c>
    </row>
    <row r="639" spans="4:9" x14ac:dyDescent="0.3">
      <c r="D639" s="48" t="str">
        <f>CONCATENATE(УЧРЕЖДЕНИЯ!$A$6)</f>
        <v>благоустройство</v>
      </c>
      <c r="E639" s="92" t="s">
        <v>437</v>
      </c>
      <c r="F639" s="93">
        <v>226</v>
      </c>
      <c r="G639" s="93">
        <v>244</v>
      </c>
      <c r="H639" s="17" t="s">
        <v>184</v>
      </c>
      <c r="I639" s="93" t="str">
        <f>IF(OR(F639=152,F639=162,F639=510),IF((OR(LEFT(RIGHT(E639,13),1)={"A","D","E","F","G","I","L","N","P","R","S","T","V"})),"Ф",""),"")</f>
        <v/>
      </c>
    </row>
    <row r="640" spans="4:9" x14ac:dyDescent="0.3">
      <c r="D640" s="48" t="str">
        <f>CONCATENATE(УЧРЕЖДЕНИЯ!$A$6)</f>
        <v>благоустройство</v>
      </c>
      <c r="E640" s="92" t="s">
        <v>437</v>
      </c>
      <c r="F640" s="93">
        <v>310</v>
      </c>
      <c r="G640" s="93">
        <v>244</v>
      </c>
      <c r="H640" s="17" t="s">
        <v>184</v>
      </c>
      <c r="I640" s="93" t="str">
        <f>IF(OR(F640=152,F640=162,F640=510),IF((OR(LEFT(RIGHT(E640,13),1)={"A","D","E","F","G","I","L","N","P","R","S","T","V"})),"Ф",""),"")</f>
        <v/>
      </c>
    </row>
    <row r="641" spans="4:9" x14ac:dyDescent="0.3">
      <c r="D641" s="48" t="str">
        <f>CONCATENATE(УЧРЕЖДЕНИЯ!$A$6)</f>
        <v>благоустройство</v>
      </c>
      <c r="E641" s="92" t="s">
        <v>437</v>
      </c>
      <c r="F641" s="93">
        <v>343</v>
      </c>
      <c r="G641" s="93">
        <v>244</v>
      </c>
      <c r="H641" s="17" t="s">
        <v>184</v>
      </c>
      <c r="I641" s="93" t="str">
        <f>IF(OR(F641=152,F641=162,F641=510),IF((OR(LEFT(RIGHT(E641,13),1)={"A","D","E","F","G","I","L","N","P","R","S","T","V"})),"Ф",""),"")</f>
        <v/>
      </c>
    </row>
    <row r="642" spans="4:9" x14ac:dyDescent="0.3">
      <c r="D642" s="48" t="str">
        <f>CONCATENATE(УЧРЕЖДЕНИЯ!$A$6)</f>
        <v>благоустройство</v>
      </c>
      <c r="E642" s="92" t="s">
        <v>437</v>
      </c>
      <c r="F642" s="93">
        <v>344</v>
      </c>
      <c r="G642" s="93">
        <v>244</v>
      </c>
      <c r="H642" s="17" t="s">
        <v>184</v>
      </c>
      <c r="I642" s="93" t="str">
        <f>IF(OR(F642=152,F642=162,F642=510),IF((OR(LEFT(RIGHT(E642,13),1)={"A","D","E","F","G","I","L","N","P","R","S","T","V"})),"Ф",""),"")</f>
        <v/>
      </c>
    </row>
    <row r="643" spans="4:9" x14ac:dyDescent="0.3">
      <c r="D643" s="48" t="str">
        <f>CONCATENATE(УЧРЕЖДЕНИЯ!$A$6)</f>
        <v>благоустройство</v>
      </c>
      <c r="E643" s="92" t="s">
        <v>437</v>
      </c>
      <c r="F643" s="93">
        <v>346</v>
      </c>
      <c r="G643" s="93">
        <v>244</v>
      </c>
      <c r="H643" s="17" t="s">
        <v>184</v>
      </c>
      <c r="I643" s="93" t="str">
        <f>IF(OR(F643=152,F643=162,F643=510),IF((OR(LEFT(RIGHT(E643,13),1)={"A","D","E","F","G","I","L","N","P","R","S","T","V"})),"Ф",""),"")</f>
        <v/>
      </c>
    </row>
    <row r="644" spans="4:9" x14ac:dyDescent="0.3">
      <c r="D644" s="48" t="str">
        <f>CONCATENATE(УЧРЕЖДЕНИЯ!$A$6)</f>
        <v>благоустройство</v>
      </c>
      <c r="E644" s="92" t="s">
        <v>433</v>
      </c>
      <c r="F644" s="93">
        <v>510</v>
      </c>
      <c r="G644" s="93">
        <v>510</v>
      </c>
      <c r="H644" s="17" t="s">
        <v>184</v>
      </c>
      <c r="I644" s="93" t="str">
        <f>IF(OR(F644=152,F644=162,F644=510),IF((OR(LEFT(RIGHT(E644,13),1)={"A","D","E","F","G","I","L","N","P","R","S","T","V"})),"Ф",""),"")</f>
        <v/>
      </c>
    </row>
    <row r="645" spans="4:9" x14ac:dyDescent="0.3">
      <c r="D645" s="48" t="str">
        <f>CONCATENATE(УЧРЕЖДЕНИЯ!$A$6)</f>
        <v>благоустройство</v>
      </c>
      <c r="E645" s="92" t="s">
        <v>439</v>
      </c>
      <c r="F645" s="93">
        <v>131</v>
      </c>
      <c r="G645" s="93">
        <v>130</v>
      </c>
      <c r="H645" s="17" t="s">
        <v>186</v>
      </c>
      <c r="I645" s="93" t="str">
        <f>IF(OR(F645=152,F645=162,F645=510),IF((OR(LEFT(RIGHT(E645,13),1)={"A","D","E","F","G","I","L","N","P","R","S","T","V"})),"Ф",""),"")</f>
        <v/>
      </c>
    </row>
    <row r="646" spans="4:9" x14ac:dyDescent="0.3">
      <c r="D646" s="48" t="str">
        <f>CONCATENATE(УЧРЕЖДЕНИЯ!$A$6)</f>
        <v>благоустройство</v>
      </c>
      <c r="E646" s="92" t="s">
        <v>440</v>
      </c>
      <c r="F646" s="93">
        <v>211</v>
      </c>
      <c r="G646" s="93">
        <v>111</v>
      </c>
      <c r="H646" s="17" t="s">
        <v>186</v>
      </c>
      <c r="I646" s="93" t="str">
        <f>IF(OR(F646=152,F646=162,F646=510),IF((OR(LEFT(RIGHT(E646,13),1)={"A","D","E","F","G","I","L","N","P","R","S","T","V"})),"Ф",""),"")</f>
        <v/>
      </c>
    </row>
    <row r="647" spans="4:9" x14ac:dyDescent="0.3">
      <c r="D647" s="48" t="str">
        <f>CONCATENATE(УЧРЕЖДЕНИЯ!$A$6)</f>
        <v>благоустройство</v>
      </c>
      <c r="E647" s="92" t="s">
        <v>440</v>
      </c>
      <c r="F647" s="93">
        <v>266</v>
      </c>
      <c r="G647" s="93">
        <v>111</v>
      </c>
      <c r="H647" s="17" t="s">
        <v>186</v>
      </c>
      <c r="I647" s="93" t="str">
        <f>IF(OR(F647=152,F647=162,F647=510),IF((OR(LEFT(RIGHT(E647,13),1)={"A","D","E","F","G","I","L","N","P","R","S","T","V"})),"Ф",""),"")</f>
        <v/>
      </c>
    </row>
    <row r="648" spans="4:9" x14ac:dyDescent="0.3">
      <c r="D648" s="48" t="str">
        <f>CONCATENATE(УЧРЕЖДЕНИЯ!$A$6)</f>
        <v>благоустройство</v>
      </c>
      <c r="E648" s="92" t="s">
        <v>441</v>
      </c>
      <c r="F648" s="93">
        <v>212</v>
      </c>
      <c r="G648" s="93">
        <v>112</v>
      </c>
      <c r="H648" s="17" t="s">
        <v>186</v>
      </c>
      <c r="I648" s="93" t="str">
        <f>IF(OR(F648=152,F648=162,F648=510),IF((OR(LEFT(RIGHT(E648,13),1)={"A","D","E","F","G","I","L","N","P","R","S","T","V"})),"Ф",""),"")</f>
        <v/>
      </c>
    </row>
    <row r="649" spans="4:9" x14ac:dyDescent="0.3">
      <c r="D649" s="48" t="str">
        <f>CONCATENATE(УЧРЕЖДЕНИЯ!$A$6)</f>
        <v>благоустройство</v>
      </c>
      <c r="E649" s="92" t="s">
        <v>442</v>
      </c>
      <c r="F649" s="93">
        <v>213</v>
      </c>
      <c r="G649" s="93">
        <v>119</v>
      </c>
      <c r="H649" s="17" t="s">
        <v>186</v>
      </c>
      <c r="I649" s="93" t="str">
        <f>IF(OR(F649=152,F649=162,F649=510),IF((OR(LEFT(RIGHT(E649,13),1)={"A","D","E","F","G","I","L","N","P","R","S","T","V"})),"Ф",""),"")</f>
        <v/>
      </c>
    </row>
    <row r="650" spans="4:9" x14ac:dyDescent="0.3">
      <c r="D650" s="48" t="str">
        <f>CONCATENATE(УЧРЕЖДЕНИЯ!$A$6)</f>
        <v>благоустройство</v>
      </c>
      <c r="E650" s="92" t="s">
        <v>442</v>
      </c>
      <c r="F650" s="93">
        <v>265</v>
      </c>
      <c r="G650" s="93">
        <v>119</v>
      </c>
      <c r="H650" s="17" t="s">
        <v>186</v>
      </c>
      <c r="I650" s="93" t="str">
        <f>IF(OR(F650=152,F650=162,F650=510),IF((OR(LEFT(RIGHT(E650,13),1)={"A","D","E","F","G","I","L","N","P","R","S","T","V"})),"Ф",""),"")</f>
        <v/>
      </c>
    </row>
    <row r="651" spans="4:9" x14ac:dyDescent="0.3">
      <c r="D651" s="48" t="str">
        <f>CONCATENATE(УЧРЕЖДЕНИЯ!$A$6)</f>
        <v>благоустройство</v>
      </c>
      <c r="E651" s="92" t="s">
        <v>443</v>
      </c>
      <c r="F651" s="93">
        <v>221</v>
      </c>
      <c r="G651" s="93">
        <v>244</v>
      </c>
      <c r="H651" s="17" t="s">
        <v>186</v>
      </c>
      <c r="I651" s="93" t="str">
        <f>IF(OR(F651=152,F651=162,F651=510),IF((OR(LEFT(RIGHT(E651,13),1)={"A","D","E","F","G","I","L","N","P","R","S","T","V"})),"Ф",""),"")</f>
        <v/>
      </c>
    </row>
    <row r="652" spans="4:9" x14ac:dyDescent="0.3">
      <c r="D652" s="48" t="str">
        <f>CONCATENATE(УЧРЕЖДЕНИЯ!$A$6)</f>
        <v>благоустройство</v>
      </c>
      <c r="E652" s="92" t="s">
        <v>443</v>
      </c>
      <c r="F652" s="93">
        <v>222</v>
      </c>
      <c r="G652" s="93">
        <v>244</v>
      </c>
      <c r="H652" s="17" t="s">
        <v>186</v>
      </c>
      <c r="I652" s="93" t="str">
        <f>IF(OR(F652=152,F652=162,F652=510),IF((OR(LEFT(RIGHT(E652,13),1)={"A","D","E","F","G","I","L","N","P","R","S","T","V"})),"Ф",""),"")</f>
        <v/>
      </c>
    </row>
    <row r="653" spans="4:9" x14ac:dyDescent="0.3">
      <c r="D653" s="48" t="str">
        <f>CONCATENATE(УЧРЕЖДЕНИЯ!$A$6)</f>
        <v>благоустройство</v>
      </c>
      <c r="E653" s="92" t="s">
        <v>444</v>
      </c>
      <c r="F653" s="93">
        <v>2233</v>
      </c>
      <c r="G653" s="93">
        <v>244</v>
      </c>
      <c r="H653" s="17" t="s">
        <v>186</v>
      </c>
      <c r="I653" s="93" t="str">
        <f>IF(OR(F653=152,F653=162,F653=510),IF((OR(LEFT(RIGHT(E653,13),1)={"A","D","E","F","G","I","L","N","P","R","S","T","V"})),"Ф",""),"")</f>
        <v/>
      </c>
    </row>
    <row r="654" spans="4:9" x14ac:dyDescent="0.3">
      <c r="D654" s="48" t="str">
        <f>CONCATENATE(УЧРЕЖДЕНИЯ!$A$6)</f>
        <v>благоустройство</v>
      </c>
      <c r="E654" s="92" t="s">
        <v>644</v>
      </c>
      <c r="F654" s="93">
        <v>2234</v>
      </c>
      <c r="G654" s="93">
        <v>244</v>
      </c>
      <c r="H654" s="17" t="s">
        <v>186</v>
      </c>
      <c r="I654" s="93" t="str">
        <f>IF(OR(F654=152,F654=162,F654=510),IF((OR(LEFT(RIGHT(E654,13),1)={"A","D","E","F","G","I","L","N","P","R","S","T","V"})),"Ф",""),"")</f>
        <v/>
      </c>
    </row>
    <row r="655" spans="4:9" x14ac:dyDescent="0.3">
      <c r="D655" s="48" t="str">
        <f>CONCATENATE(УЧРЕЖДЕНИЯ!$A$6)</f>
        <v>благоустройство</v>
      </c>
      <c r="E655" s="92" t="s">
        <v>443</v>
      </c>
      <c r="F655" s="93">
        <v>224</v>
      </c>
      <c r="G655" s="93">
        <v>244</v>
      </c>
      <c r="H655" s="17" t="s">
        <v>186</v>
      </c>
      <c r="I655" s="93" t="str">
        <f>IF(OR(F655=152,F655=162,F655=510),IF((OR(LEFT(RIGHT(E655,13),1)={"A","D","E","F","G","I","L","N","P","R","S","T","V"})),"Ф",""),"")</f>
        <v/>
      </c>
    </row>
    <row r="656" spans="4:9" x14ac:dyDescent="0.3">
      <c r="D656" s="48" t="str">
        <f>CONCATENATE(УЧРЕЖДЕНИЯ!$A$6)</f>
        <v>благоустройство</v>
      </c>
      <c r="E656" s="92" t="s">
        <v>443</v>
      </c>
      <c r="F656" s="93">
        <v>225</v>
      </c>
      <c r="G656" s="93">
        <v>244</v>
      </c>
      <c r="H656" s="17" t="s">
        <v>186</v>
      </c>
      <c r="I656" s="93" t="str">
        <f>IF(OR(F656=152,F656=162,F656=510),IF((OR(LEFT(RIGHT(E656,13),1)={"A","D","E","F","G","I","L","N","P","R","S","T","V"})),"Ф",""),"")</f>
        <v/>
      </c>
    </row>
    <row r="657" spans="4:9" x14ac:dyDescent="0.3">
      <c r="D657" s="48" t="str">
        <f>CONCATENATE(УЧРЕЖДЕНИЯ!$A$6)</f>
        <v>благоустройство</v>
      </c>
      <c r="E657" s="92" t="s">
        <v>443</v>
      </c>
      <c r="F657" s="93">
        <v>226</v>
      </c>
      <c r="G657" s="93">
        <v>244</v>
      </c>
      <c r="H657" s="17" t="s">
        <v>186</v>
      </c>
      <c r="I657" s="93" t="str">
        <f>IF(OR(F657=152,F657=162,F657=510),IF((OR(LEFT(RIGHT(E657,13),1)={"A","D","E","F","G","I","L","N","P","R","S","T","V"})),"Ф",""),"")</f>
        <v/>
      </c>
    </row>
    <row r="658" spans="4:9" x14ac:dyDescent="0.3">
      <c r="D658" s="48" t="str">
        <f>CONCATENATE(УЧРЕЖДЕНИЯ!$A$6)</f>
        <v>благоустройство</v>
      </c>
      <c r="E658" s="92" t="s">
        <v>443</v>
      </c>
      <c r="F658" s="93">
        <v>227</v>
      </c>
      <c r="G658" s="93">
        <v>244</v>
      </c>
      <c r="H658" s="17" t="s">
        <v>186</v>
      </c>
      <c r="I658" s="93" t="str">
        <f>IF(OR(F658=152,F658=162,F658=510),IF((OR(LEFT(RIGHT(E658,13),1)={"A","D","E","F","G","I","L","N","P","R","S","T","V"})),"Ф",""),"")</f>
        <v/>
      </c>
    </row>
    <row r="659" spans="4:9" x14ac:dyDescent="0.3">
      <c r="D659" s="48" t="str">
        <f>CONCATENATE(УЧРЕЖДЕНИЯ!$A$6)</f>
        <v>благоустройство</v>
      </c>
      <c r="E659" s="92" t="s">
        <v>443</v>
      </c>
      <c r="F659" s="93">
        <v>310</v>
      </c>
      <c r="G659" s="93">
        <v>244</v>
      </c>
      <c r="H659" s="17" t="s">
        <v>186</v>
      </c>
      <c r="I659" s="93" t="str">
        <f>IF(OR(F659=152,F659=162,F659=510),IF((OR(LEFT(RIGHT(E659,13),1)={"A","D","E","F","G","I","L","N","P","R","S","T","V"})),"Ф",""),"")</f>
        <v/>
      </c>
    </row>
    <row r="660" spans="4:9" x14ac:dyDescent="0.3">
      <c r="D660" s="48" t="str">
        <f>CONCATENATE(УЧРЕЖДЕНИЯ!$A$6)</f>
        <v>благоустройство</v>
      </c>
      <c r="E660" s="92" t="s">
        <v>443</v>
      </c>
      <c r="F660" s="93">
        <v>343</v>
      </c>
      <c r="G660" s="93">
        <v>244</v>
      </c>
      <c r="H660" s="17" t="s">
        <v>186</v>
      </c>
      <c r="I660" s="93" t="str">
        <f>IF(OR(F660=152,F660=162,F660=510),IF((OR(LEFT(RIGHT(E660,13),1)={"A","D","E","F","G","I","L","N","P","R","S","T","V"})),"Ф",""),"")</f>
        <v/>
      </c>
    </row>
    <row r="661" spans="4:9" x14ac:dyDescent="0.3">
      <c r="D661" s="48" t="str">
        <f>CONCATENATE(УЧРЕЖДЕНИЯ!$A$6)</f>
        <v>благоустройство</v>
      </c>
      <c r="E661" s="92" t="s">
        <v>443</v>
      </c>
      <c r="F661" s="93">
        <v>345</v>
      </c>
      <c r="G661" s="93">
        <v>244</v>
      </c>
      <c r="H661" s="17" t="s">
        <v>186</v>
      </c>
      <c r="I661" s="93" t="str">
        <f>IF(OR(F661=152,F661=162,F661=510),IF((OR(LEFT(RIGHT(E661,13),1)={"A","D","E","F","G","I","L","N","P","R","S","T","V"})),"Ф",""),"")</f>
        <v/>
      </c>
    </row>
    <row r="662" spans="4:9" x14ac:dyDescent="0.3">
      <c r="D662" s="48" t="str">
        <f>CONCATENATE(УЧРЕЖДЕНИЯ!$A$6)</f>
        <v>благоустройство</v>
      </c>
      <c r="E662" s="92" t="s">
        <v>443</v>
      </c>
      <c r="F662" s="93">
        <v>346</v>
      </c>
      <c r="G662" s="93">
        <v>244</v>
      </c>
      <c r="H662" s="17" t="s">
        <v>186</v>
      </c>
      <c r="I662" s="93" t="str">
        <f>IF(OR(F662=152,F662=162,F662=510),IF((OR(LEFT(RIGHT(E662,13),1)={"A","D","E","F","G","I","L","N","P","R","S","T","V"})),"Ф",""),"")</f>
        <v/>
      </c>
    </row>
    <row r="663" spans="4:9" x14ac:dyDescent="0.3">
      <c r="D663" s="48" t="str">
        <f>CONCATENATE(УЧРЕЖДЕНИЯ!$A$6)</f>
        <v>благоустройство</v>
      </c>
      <c r="E663" s="92" t="s">
        <v>657</v>
      </c>
      <c r="F663" s="93">
        <v>2231</v>
      </c>
      <c r="G663" s="93">
        <v>247</v>
      </c>
      <c r="H663" s="17" t="s">
        <v>186</v>
      </c>
      <c r="I663" s="93" t="str">
        <f>IF(OR(F663=152,F663=162,F663=510),IF((OR(LEFT(RIGHT(E663,13),1)={"A","D","E","F","G","I","L","N","P","R","S","T","V"})),"Ф",""),"")</f>
        <v/>
      </c>
    </row>
    <row r="664" spans="4:9" x14ac:dyDescent="0.3">
      <c r="D664" s="48" t="str">
        <f>CONCATENATE(УЧРЕЖДЕНИЯ!$A$6)</f>
        <v>благоустройство</v>
      </c>
      <c r="E664" s="92" t="s">
        <v>668</v>
      </c>
      <c r="F664" s="93">
        <v>2232</v>
      </c>
      <c r="G664" s="93">
        <v>247</v>
      </c>
      <c r="H664" s="17" t="s">
        <v>186</v>
      </c>
      <c r="I664" s="93" t="str">
        <f>IF(OR(F664=152,F664=162,F664=510),IF((OR(LEFT(RIGHT(E664,13),1)={"A","D","E","F","G","I","L","N","P","R","S","T","V"})),"Ф",""),"")</f>
        <v/>
      </c>
    </row>
    <row r="665" spans="4:9" x14ac:dyDescent="0.3">
      <c r="D665" s="48" t="str">
        <f>CONCATENATE(УЧРЕЖДЕНИЯ!$A$6)</f>
        <v>благоустройство</v>
      </c>
      <c r="E665" s="92" t="s">
        <v>445</v>
      </c>
      <c r="F665" s="93">
        <v>261</v>
      </c>
      <c r="G665" s="93">
        <v>321</v>
      </c>
      <c r="H665" s="17" t="s">
        <v>186</v>
      </c>
      <c r="I665" s="93" t="str">
        <f>IF(OR(F665=152,F665=162,F665=510),IF((OR(LEFT(RIGHT(E665,13),1)={"A","D","E","F","G","I","L","N","P","R","S","T","V"})),"Ф",""),"")</f>
        <v/>
      </c>
    </row>
    <row r="666" spans="4:9" x14ac:dyDescent="0.3">
      <c r="D666" s="48" t="str">
        <f>CONCATENATE(УЧРЕЖДЕНИЯ!$A$6)</f>
        <v>благоустройство</v>
      </c>
      <c r="E666" s="92" t="s">
        <v>438</v>
      </c>
      <c r="F666" s="93">
        <v>510</v>
      </c>
      <c r="G666" s="93">
        <v>510</v>
      </c>
      <c r="H666" s="17" t="s">
        <v>186</v>
      </c>
      <c r="I666" s="93" t="str">
        <f>IF(OR(F666=152,F666=162,F666=510),IF((OR(LEFT(RIGHT(E666,13),1)={"A","D","E","F","G","I","L","N","P","R","S","T","V"})),"Ф",""),"")</f>
        <v/>
      </c>
    </row>
    <row r="667" spans="4:9" x14ac:dyDescent="0.3">
      <c r="D667" s="48" t="str">
        <f>CONCATENATE(УЧРЕЖДЕНИЯ!$A$6)</f>
        <v>благоустройство</v>
      </c>
      <c r="E667" s="92" t="s">
        <v>446</v>
      </c>
      <c r="F667" s="93">
        <v>291</v>
      </c>
      <c r="G667" s="93">
        <v>851</v>
      </c>
      <c r="H667" s="17" t="s">
        <v>186</v>
      </c>
      <c r="I667" s="93" t="str">
        <f>IF(OR(F667=152,F667=162,F667=510),IF((OR(LEFT(RIGHT(E667,13),1)={"A","D","E","F","G","I","L","N","P","R","S","T","V"})),"Ф",""),"")</f>
        <v/>
      </c>
    </row>
    <row r="668" spans="4:9" x14ac:dyDescent="0.3">
      <c r="D668" s="48" t="str">
        <f>CONCATENATE(УЧРЕЖДЕНИЯ!$A$6)</f>
        <v>благоустройство</v>
      </c>
      <c r="E668" s="92" t="s">
        <v>447</v>
      </c>
      <c r="F668" s="93">
        <v>291</v>
      </c>
      <c r="G668" s="93">
        <v>852</v>
      </c>
      <c r="H668" s="17" t="s">
        <v>186</v>
      </c>
      <c r="I668" s="93" t="str">
        <f>IF(OR(F668=152,F668=162,F668=510),IF((OR(LEFT(RIGHT(E668,13),1)={"A","D","E","F","G","I","L","N","P","R","S","T","V"})),"Ф",""),"")</f>
        <v/>
      </c>
    </row>
    <row r="669" spans="4:9" x14ac:dyDescent="0.3">
      <c r="D669" s="48" t="str">
        <f>CONCATENATE(УЧРЕЖДЕНИЯ!$A$6)</f>
        <v>благоустройство</v>
      </c>
      <c r="E669" s="92" t="s">
        <v>448</v>
      </c>
      <c r="F669" s="93">
        <v>291</v>
      </c>
      <c r="G669" s="93">
        <v>853</v>
      </c>
      <c r="H669" s="17" t="s">
        <v>186</v>
      </c>
      <c r="I669" s="93" t="str">
        <f>IF(OR(F669=152,F669=162,F669=510),IF((OR(LEFT(RIGHT(E669,13),1)={"A","D","E","F","G","I","L","N","P","R","S","T","V"})),"Ф",""),"")</f>
        <v/>
      </c>
    </row>
    <row r="670" spans="4:9" x14ac:dyDescent="0.3">
      <c r="D670" s="48" t="str">
        <f>CONCATENATE(УЧРЕЖДЕНИЯ!$A$6)</f>
        <v>благоустройство</v>
      </c>
      <c r="E670" s="92" t="s">
        <v>448</v>
      </c>
      <c r="F670" s="93">
        <v>292</v>
      </c>
      <c r="G670" s="93">
        <v>853</v>
      </c>
      <c r="H670" s="17" t="s">
        <v>186</v>
      </c>
      <c r="I670" s="93" t="str">
        <f>IF(OR(F670=152,F670=162,F670=510),IF((OR(LEFT(RIGHT(E670,13),1)={"A","D","E","F","G","I","L","N","P","R","S","T","V"})),"Ф",""),"")</f>
        <v/>
      </c>
    </row>
    <row r="671" spans="4:9" x14ac:dyDescent="0.3">
      <c r="D671" s="48" t="str">
        <f>CONCATENATE(УЧРЕЖДЕНИЯ!$A$6)</f>
        <v>благоустройство</v>
      </c>
      <c r="E671" s="92" t="s">
        <v>857</v>
      </c>
      <c r="F671" s="93">
        <v>131</v>
      </c>
      <c r="G671" s="93">
        <v>130</v>
      </c>
      <c r="H671" s="17" t="s">
        <v>186</v>
      </c>
      <c r="I671" s="93" t="str">
        <f>IF(OR(F671=152,F671=162,F671=510),IF((OR(LEFT(RIGHT(E671,13),1)={"A","D","E","F","G","I","L","N","P","R","S","T","V"})),"Ф",""),"")</f>
        <v/>
      </c>
    </row>
    <row r="672" spans="4:9" x14ac:dyDescent="0.3">
      <c r="D672" s="48" t="str">
        <f>CONCATENATE(УЧРЕЖДЕНИЯ!$A$6)</f>
        <v>благоустройство</v>
      </c>
      <c r="E672" s="92" t="s">
        <v>858</v>
      </c>
      <c r="F672" s="93">
        <v>211</v>
      </c>
      <c r="G672" s="93">
        <v>111</v>
      </c>
      <c r="H672" s="17" t="s">
        <v>186</v>
      </c>
      <c r="I672" s="93" t="str">
        <f>IF(OR(F672=152,F672=162,F672=510),IF((OR(LEFT(RIGHT(E672,13),1)={"A","D","E","F","G","I","L","N","P","R","S","T","V"})),"Ф",""),"")</f>
        <v/>
      </c>
    </row>
    <row r="673" spans="2:9" x14ac:dyDescent="0.3">
      <c r="D673" s="48" t="str">
        <f>CONCATENATE(УЧРЕЖДЕНИЯ!$A$6)</f>
        <v>благоустройство</v>
      </c>
      <c r="E673" s="92" t="s">
        <v>859</v>
      </c>
      <c r="F673" s="93">
        <v>213</v>
      </c>
      <c r="G673" s="93">
        <v>119</v>
      </c>
      <c r="H673" s="17" t="s">
        <v>186</v>
      </c>
      <c r="I673" s="93" t="str">
        <f>IF(OR(F673=152,F673=162,F673=510),IF((OR(LEFT(RIGHT(E673,13),1)={"A","D","E","F","G","I","L","N","P","R","S","T","V"})),"Ф",""),"")</f>
        <v/>
      </c>
    </row>
    <row r="674" spans="2:9" x14ac:dyDescent="0.3">
      <c r="D674" s="48" t="str">
        <f>CONCATENATE(УЧРЕЖДЕНИЯ!$A$6)</f>
        <v>благоустройство</v>
      </c>
      <c r="E674" s="92" t="s">
        <v>450</v>
      </c>
      <c r="F674" s="93">
        <v>131</v>
      </c>
      <c r="G674" s="93">
        <v>130</v>
      </c>
      <c r="H674" s="17" t="s">
        <v>185</v>
      </c>
      <c r="I674" s="93" t="str">
        <f>IF(OR(F674=152,F674=162,F674=510),IF((OR(LEFT(RIGHT(E674,13),1)={"A","D","E","F","G","I","L","N","P","R","S","T","V"})),"Ф",""),"")</f>
        <v/>
      </c>
    </row>
    <row r="675" spans="2:9" x14ac:dyDescent="0.3">
      <c r="D675" s="48" t="str">
        <f>CONCATENATE(УЧРЕЖДЕНИЯ!$A$6)</f>
        <v>благоустройство</v>
      </c>
      <c r="E675" s="92" t="s">
        <v>451</v>
      </c>
      <c r="F675" s="93">
        <v>226</v>
      </c>
      <c r="G675" s="93">
        <v>244</v>
      </c>
      <c r="H675" s="17" t="s">
        <v>185</v>
      </c>
      <c r="I675" s="93" t="str">
        <f>IF(OR(F675=152,F675=162,F675=510),IF((OR(LEFT(RIGHT(E675,13),1)={"A","D","E","F","G","I","L","N","P","R","S","T","V"})),"Ф",""),"")</f>
        <v/>
      </c>
    </row>
    <row r="676" spans="2:9" x14ac:dyDescent="0.3">
      <c r="D676" s="48" t="str">
        <f>CONCATENATE(УЧРЕЖДЕНИЯ!$A$6)</f>
        <v>благоустройство</v>
      </c>
      <c r="E676" s="92" t="s">
        <v>451</v>
      </c>
      <c r="F676" s="93">
        <v>310</v>
      </c>
      <c r="G676" s="93">
        <v>244</v>
      </c>
      <c r="H676" s="17" t="s">
        <v>185</v>
      </c>
      <c r="I676" s="93" t="str">
        <f>IF(OR(F676=152,F676=162,F676=510),IF((OR(LEFT(RIGHT(E676,13),1)={"A","D","E","F","G","I","L","N","P","R","S","T","V"})),"Ф",""),"")</f>
        <v/>
      </c>
    </row>
    <row r="677" spans="2:9" x14ac:dyDescent="0.3">
      <c r="D677" s="48" t="str">
        <f>CONCATENATE(УЧРЕЖДЕНИЯ!$A$6)</f>
        <v>благоустройство</v>
      </c>
      <c r="E677" s="92" t="s">
        <v>451</v>
      </c>
      <c r="F677" s="93">
        <v>344</v>
      </c>
      <c r="G677" s="93">
        <v>244</v>
      </c>
      <c r="H677" s="17" t="s">
        <v>185</v>
      </c>
      <c r="I677" s="93" t="str">
        <f>IF(OR(F677=152,F677=162,F677=510),IF((OR(LEFT(RIGHT(E677,13),1)={"A","D","E","F","G","I","L","N","P","R","S","T","V"})),"Ф",""),"")</f>
        <v/>
      </c>
    </row>
    <row r="678" spans="2:9" x14ac:dyDescent="0.3">
      <c r="D678" s="48" t="str">
        <f>CONCATENATE(УЧРЕЖДЕНИЯ!$A$6)</f>
        <v>благоустройство</v>
      </c>
      <c r="E678" s="92" t="s">
        <v>451</v>
      </c>
      <c r="F678" s="93">
        <v>346</v>
      </c>
      <c r="G678" s="93">
        <v>244</v>
      </c>
      <c r="H678" s="17" t="s">
        <v>185</v>
      </c>
      <c r="I678" s="93" t="str">
        <f>IF(OR(F678=152,F678=162,F678=510),IF((OR(LEFT(RIGHT(E678,13),1)={"A","D","E","F","G","I","L","N","P","R","S","T","V"})),"Ф",""),"")</f>
        <v/>
      </c>
    </row>
    <row r="679" spans="2:9" x14ac:dyDescent="0.3">
      <c r="D679" s="48" t="str">
        <f>CONCATENATE(УЧРЕЖДЕНИЯ!$A$6)</f>
        <v>благоустройство</v>
      </c>
      <c r="E679" s="92" t="s">
        <v>449</v>
      </c>
      <c r="F679" s="93">
        <v>510</v>
      </c>
      <c r="G679" s="93">
        <v>510</v>
      </c>
      <c r="H679" s="17" t="s">
        <v>185</v>
      </c>
      <c r="I679" s="93" t="str">
        <f>IF(OR(F679=152,F679=162,F679=510),IF((OR(LEFT(RIGHT(E679,13),1)={"A","D","E","F","G","I","L","N","P","R","S","T","V"})),"Ф",""),"")</f>
        <v/>
      </c>
    </row>
    <row r="680" spans="2:9" x14ac:dyDescent="0.3">
      <c r="D680" s="48" t="str">
        <f>CONCATENATE(УЧРЕЖДЕНИЯ!$A$6)</f>
        <v>благоустройство</v>
      </c>
      <c r="E680" s="92" t="s">
        <v>921</v>
      </c>
      <c r="F680" s="93">
        <v>610</v>
      </c>
      <c r="G680" s="93">
        <v>610</v>
      </c>
      <c r="H680" s="17" t="s">
        <v>185</v>
      </c>
      <c r="I680" s="93" t="str">
        <f>IF(OR(F680=152,F680=162,F680=510),IF((OR(LEFT(RIGHT(E680,13),1)={"A","D","E","F","G","I","L","N","P","R","S","T","V"})),"Ф",""),"")</f>
        <v/>
      </c>
    </row>
    <row r="681" spans="2:9" x14ac:dyDescent="0.3">
      <c r="D681" s="48" t="str">
        <f>CONCATENATE(УЧРЕЖДЕНИЯ!$A$6)</f>
        <v>благоустройство</v>
      </c>
      <c r="E681" s="92" t="s">
        <v>566</v>
      </c>
      <c r="F681" s="93">
        <v>131</v>
      </c>
      <c r="G681" s="93">
        <v>130</v>
      </c>
      <c r="H681" s="17" t="s">
        <v>558</v>
      </c>
      <c r="I681" s="93" t="str">
        <f>IF(OR(F681=152,F681=162,F681=510),IF((OR(LEFT(RIGHT(E681,13),1)={"A","D","E","F","G","I","L","N","P","R","S","T","V"})),"Ф",""),"")</f>
        <v/>
      </c>
    </row>
    <row r="682" spans="2:9" x14ac:dyDescent="0.3">
      <c r="D682" s="48" t="str">
        <f>CONCATENATE(УЧРЕЖДЕНИЯ!$A$6)</f>
        <v>благоустройство</v>
      </c>
      <c r="E682" s="92" t="s">
        <v>567</v>
      </c>
      <c r="F682" s="93">
        <v>226</v>
      </c>
      <c r="G682" s="93">
        <v>244</v>
      </c>
      <c r="H682" s="17" t="s">
        <v>558</v>
      </c>
      <c r="I682" s="93" t="str">
        <f>IF(OR(F682=152,F682=162,F682=510),IF((OR(LEFT(RIGHT(E682,13),1)={"A","D","E","F","G","I","L","N","P","R","S","T","V"})),"Ф",""),"")</f>
        <v/>
      </c>
    </row>
    <row r="683" spans="2:9" x14ac:dyDescent="0.3">
      <c r="D683" s="48" t="str">
        <f>CONCATENATE(УЧРЕЖДЕНИЯ!$A$6)</f>
        <v>благоустройство</v>
      </c>
      <c r="E683" s="92" t="s">
        <v>702</v>
      </c>
      <c r="F683" s="93">
        <v>510</v>
      </c>
      <c r="G683" s="93">
        <v>510</v>
      </c>
      <c r="H683" s="17" t="s">
        <v>558</v>
      </c>
      <c r="I683" s="93" t="str">
        <f>IF(OR(F683=152,F683=162,F683=510),IF((OR(LEFT(RIGHT(E683,13),1)={"A","D","E","F","G","I","L","N","P","R","S","T","V"})),"Ф",""),"")</f>
        <v/>
      </c>
    </row>
    <row r="684" spans="2:9" x14ac:dyDescent="0.3">
      <c r="B684" s="48" t="s">
        <v>707</v>
      </c>
      <c r="C684" s="48" t="s">
        <v>131</v>
      </c>
      <c r="D684" s="48" t="str">
        <f>CONCATENATE(УЧРЕЖДЕНИЯ!$A$7)</f>
        <v>МХШ</v>
      </c>
      <c r="E684" s="92" t="s">
        <v>408</v>
      </c>
      <c r="F684" s="93">
        <v>131</v>
      </c>
      <c r="G684" s="93">
        <v>130</v>
      </c>
      <c r="H684" s="17" t="s">
        <v>183</v>
      </c>
      <c r="I684" s="93" t="str">
        <f>IF(OR(F684=152,F684=162,F684=510),IF((OR(LEFT(RIGHT(E684,13),1)={"A","D","E","F","G","I","L","N","P","R","S","T","V"})),"Ф",""),"")</f>
        <v/>
      </c>
    </row>
    <row r="685" spans="2:9" x14ac:dyDescent="0.3">
      <c r="D685" s="48" t="str">
        <f>CONCATENATE(УЧРЕЖДЕНИЯ!$A$7)</f>
        <v>МХШ</v>
      </c>
      <c r="E685" s="92" t="s">
        <v>409</v>
      </c>
      <c r="F685" s="93">
        <v>211</v>
      </c>
      <c r="G685" s="93">
        <v>111</v>
      </c>
      <c r="H685" s="17" t="s">
        <v>183</v>
      </c>
      <c r="I685" s="93" t="str">
        <f>IF(OR(F685=152,F685=162,F685=510),IF((OR(LEFT(RIGHT(E685,13),1)={"A","D","E","F","G","I","L","N","P","R","S","T","V"})),"Ф",""),"")</f>
        <v/>
      </c>
    </row>
    <row r="686" spans="2:9" x14ac:dyDescent="0.3">
      <c r="D686" s="48" t="str">
        <f>CONCATENATE(УЧРЕЖДЕНИЯ!$A$7)</f>
        <v>МХШ</v>
      </c>
      <c r="E686" s="92" t="s">
        <v>410</v>
      </c>
      <c r="F686" s="93">
        <v>213</v>
      </c>
      <c r="G686" s="93">
        <v>119</v>
      </c>
      <c r="H686" s="17" t="s">
        <v>183</v>
      </c>
      <c r="I686" s="93" t="str">
        <f>IF(OR(F686=152,F686=162,F686=510),IF((OR(LEFT(RIGHT(E686,13),1)={"A","D","E","F","G","I","L","N","P","R","S","T","V"})),"Ф",""),"")</f>
        <v/>
      </c>
    </row>
    <row r="687" spans="2:9" x14ac:dyDescent="0.3">
      <c r="D687" s="48" t="str">
        <f>CONCATENATE(УЧРЕЖДЕНИЯ!$A$7)</f>
        <v>МХШ</v>
      </c>
      <c r="E687" s="92" t="s">
        <v>453</v>
      </c>
      <c r="F687" s="93">
        <v>131</v>
      </c>
      <c r="G687" s="93">
        <v>130</v>
      </c>
      <c r="H687" s="17" t="s">
        <v>183</v>
      </c>
      <c r="I687" s="93" t="str">
        <f>IF(OR(F687=152,F687=162,F687=510),IF((OR(LEFT(RIGHT(E687,13),1)={"A","D","E","F","G","I","L","N","P","R","S","T","V"})),"Ф",""),"")</f>
        <v/>
      </c>
    </row>
    <row r="688" spans="2:9" x14ac:dyDescent="0.3">
      <c r="D688" s="48" t="str">
        <f>CONCATENATE(УЧРЕЖДЕНИЯ!$A$7)</f>
        <v>МХШ</v>
      </c>
      <c r="E688" s="92" t="s">
        <v>454</v>
      </c>
      <c r="F688" s="93">
        <v>211</v>
      </c>
      <c r="G688" s="93">
        <v>111</v>
      </c>
      <c r="H688" s="17" t="s">
        <v>183</v>
      </c>
      <c r="I688" s="93" t="str">
        <f>IF(OR(F688=152,F688=162,F688=510),IF((OR(LEFT(RIGHT(E688,13),1)={"A","D","E","F","G","I","L","N","P","R","S","T","V"})),"Ф",""),"")</f>
        <v/>
      </c>
    </row>
    <row r="689" spans="4:9" x14ac:dyDescent="0.3">
      <c r="D689" s="48" t="str">
        <f>CONCATENATE(УЧРЕЖДЕНИЯ!$A$7)</f>
        <v>МХШ</v>
      </c>
      <c r="E689" s="92" t="s">
        <v>454</v>
      </c>
      <c r="F689" s="93">
        <v>266</v>
      </c>
      <c r="G689" s="93">
        <v>111</v>
      </c>
      <c r="H689" s="17" t="s">
        <v>183</v>
      </c>
      <c r="I689" s="93" t="str">
        <f>IF(OR(F689=152,F689=162,F689=510),IF((OR(LEFT(RIGHT(E689,13),1)={"A","D","E","F","G","I","L","N","P","R","S","T","V"})),"Ф",""),"")</f>
        <v/>
      </c>
    </row>
    <row r="690" spans="4:9" x14ac:dyDescent="0.3">
      <c r="D690" s="48" t="str">
        <f>CONCATENATE(УЧРЕЖДЕНИЯ!$A$7)</f>
        <v>МХШ</v>
      </c>
      <c r="E690" s="92" t="s">
        <v>455</v>
      </c>
      <c r="F690" s="93">
        <v>212</v>
      </c>
      <c r="G690" s="93">
        <v>112</v>
      </c>
      <c r="H690" s="17" t="s">
        <v>183</v>
      </c>
      <c r="I690" s="93" t="str">
        <f>IF(OR(F690=152,F690=162,F690=510),IF((OR(LEFT(RIGHT(E690,13),1)={"A","D","E","F","G","I","L","N","P","R","S","T","V"})),"Ф",""),"")</f>
        <v/>
      </c>
    </row>
    <row r="691" spans="4:9" x14ac:dyDescent="0.3">
      <c r="D691" s="48" t="str">
        <f>CONCATENATE(УЧРЕЖДЕНИЯ!$A$7)</f>
        <v>МХШ</v>
      </c>
      <c r="E691" s="92" t="s">
        <v>455</v>
      </c>
      <c r="F691" s="93">
        <v>226</v>
      </c>
      <c r="G691" s="93">
        <v>112</v>
      </c>
      <c r="H691" s="17" t="s">
        <v>183</v>
      </c>
      <c r="I691" s="93" t="str">
        <f>IF(OR(F691=152,F691=162,F691=510),IF((OR(LEFT(RIGHT(E691,13),1)={"A","D","E","F","G","I","L","N","P","R","S","T","V"})),"Ф",""),"")</f>
        <v/>
      </c>
    </row>
    <row r="692" spans="4:9" x14ac:dyDescent="0.3">
      <c r="D692" s="48" t="str">
        <f>CONCATENATE(УЧРЕЖДЕНИЯ!$A$7)</f>
        <v>МХШ</v>
      </c>
      <c r="E692" s="92" t="s">
        <v>455</v>
      </c>
      <c r="F692" s="93">
        <v>266</v>
      </c>
      <c r="G692" s="93">
        <v>112</v>
      </c>
      <c r="H692" s="17" t="s">
        <v>183</v>
      </c>
      <c r="I692" s="93" t="str">
        <f>IF(OR(F692=152,F692=162,F692=510),IF((OR(LEFT(RIGHT(E692,13),1)={"A","D","E","F","G","I","L","N","P","R","S","T","V"})),"Ф",""),"")</f>
        <v/>
      </c>
    </row>
    <row r="693" spans="4:9" x14ac:dyDescent="0.3">
      <c r="D693" s="48" t="str">
        <f>CONCATENATE(УЧРЕЖДЕНИЯ!$A$7)</f>
        <v>МХШ</v>
      </c>
      <c r="E693" s="92" t="s">
        <v>456</v>
      </c>
      <c r="F693" s="93">
        <v>213</v>
      </c>
      <c r="G693" s="93">
        <v>119</v>
      </c>
      <c r="H693" s="17" t="s">
        <v>183</v>
      </c>
      <c r="I693" s="93" t="str">
        <f>IF(OR(F693=152,F693=162,F693=510),IF((OR(LEFT(RIGHT(E693,13),1)={"A","D","E","F","G","I","L","N","P","R","S","T","V"})),"Ф",""),"")</f>
        <v/>
      </c>
    </row>
    <row r="694" spans="4:9" x14ac:dyDescent="0.3">
      <c r="D694" s="48" t="str">
        <f>CONCATENATE(УЧРЕЖДЕНИЯ!$A$7)</f>
        <v>МХШ</v>
      </c>
      <c r="E694" s="92" t="s">
        <v>457</v>
      </c>
      <c r="F694" s="93">
        <v>221</v>
      </c>
      <c r="G694" s="93">
        <v>244</v>
      </c>
      <c r="H694" s="17" t="s">
        <v>183</v>
      </c>
      <c r="I694" s="93" t="str">
        <f>IF(OR(F694=152,F694=162,F694=510),IF((OR(LEFT(RIGHT(E694,13),1)={"A","D","E","F","G","I","L","N","P","R","S","T","V"})),"Ф",""),"")</f>
        <v/>
      </c>
    </row>
    <row r="695" spans="4:9" x14ac:dyDescent="0.3">
      <c r="D695" s="48" t="str">
        <f>CONCATENATE(УЧРЕЖДЕНИЯ!$A$7)</f>
        <v>МХШ</v>
      </c>
      <c r="E695" s="92" t="s">
        <v>457</v>
      </c>
      <c r="F695" s="93">
        <v>222</v>
      </c>
      <c r="G695" s="93">
        <v>244</v>
      </c>
      <c r="H695" s="17" t="s">
        <v>183</v>
      </c>
      <c r="I695" s="93" t="str">
        <f>IF(OR(F695=152,F695=162,F695=510),IF((OR(LEFT(RIGHT(E695,13),1)={"A","D","E","F","G","I","L","N","P","R","S","T","V"})),"Ф",""),"")</f>
        <v/>
      </c>
    </row>
    <row r="696" spans="4:9" x14ac:dyDescent="0.3">
      <c r="D696" s="48" t="str">
        <f>CONCATENATE(УЧРЕЖДЕНИЯ!$A$7)</f>
        <v>МХШ</v>
      </c>
      <c r="E696" s="92" t="s">
        <v>458</v>
      </c>
      <c r="F696" s="93">
        <v>2233</v>
      </c>
      <c r="G696" s="93">
        <v>244</v>
      </c>
      <c r="H696" s="17" t="s">
        <v>183</v>
      </c>
      <c r="I696" s="93" t="str">
        <f>IF(OR(F696=152,F696=162,F696=510),IF((OR(LEFT(RIGHT(E696,13),1)={"A","D","E","F","G","I","L","N","P","R","S","T","V"})),"Ф",""),"")</f>
        <v/>
      </c>
    </row>
    <row r="697" spans="4:9" x14ac:dyDescent="0.3">
      <c r="D697" s="48" t="str">
        <f>CONCATENATE(УЧРЕЖДЕНИЯ!$A$7)</f>
        <v>МХШ</v>
      </c>
      <c r="E697" s="92" t="s">
        <v>638</v>
      </c>
      <c r="F697" s="93">
        <v>2234</v>
      </c>
      <c r="G697" s="93">
        <v>244</v>
      </c>
      <c r="H697" s="17" t="s">
        <v>183</v>
      </c>
      <c r="I697" s="93" t="str">
        <f>IF(OR(F697=152,F697=162,F697=510),IF((OR(LEFT(RIGHT(E697,13),1)={"A","D","E","F","G","I","L","N","P","R","S","T","V"})),"Ф",""),"")</f>
        <v/>
      </c>
    </row>
    <row r="698" spans="4:9" x14ac:dyDescent="0.3">
      <c r="D698" s="48" t="str">
        <f>CONCATENATE(УЧРЕЖДЕНИЯ!$A$7)</f>
        <v>МХШ</v>
      </c>
      <c r="E698" s="92" t="s">
        <v>457</v>
      </c>
      <c r="F698" s="93">
        <v>225</v>
      </c>
      <c r="G698" s="93">
        <v>244</v>
      </c>
      <c r="H698" s="17" t="s">
        <v>183</v>
      </c>
      <c r="I698" s="93" t="str">
        <f>IF(OR(F698=152,F698=162,F698=510),IF((OR(LEFT(RIGHT(E698,13),1)={"A","D","E","F","G","I","L","N","P","R","S","T","V"})),"Ф",""),"")</f>
        <v/>
      </c>
    </row>
    <row r="699" spans="4:9" x14ac:dyDescent="0.3">
      <c r="D699" s="48" t="str">
        <f>CONCATENATE(УЧРЕЖДЕНИЯ!$A$7)</f>
        <v>МХШ</v>
      </c>
      <c r="E699" s="92" t="s">
        <v>457</v>
      </c>
      <c r="F699" s="93">
        <v>226</v>
      </c>
      <c r="G699" s="93">
        <v>244</v>
      </c>
      <c r="H699" s="17" t="s">
        <v>183</v>
      </c>
      <c r="I699" s="93" t="str">
        <f>IF(OR(F699=152,F699=162,F699=510),IF((OR(LEFT(RIGHT(E699,13),1)={"A","D","E","F","G","I","L","N","P","R","S","T","V"})),"Ф",""),"")</f>
        <v/>
      </c>
    </row>
    <row r="700" spans="4:9" x14ac:dyDescent="0.3">
      <c r="D700" s="48" t="str">
        <f>CONCATENATE(УЧРЕЖДЕНИЯ!$A$7)</f>
        <v>МХШ</v>
      </c>
      <c r="E700" s="92" t="s">
        <v>457</v>
      </c>
      <c r="F700" s="93">
        <v>310</v>
      </c>
      <c r="G700" s="93">
        <v>244</v>
      </c>
      <c r="H700" s="17" t="s">
        <v>183</v>
      </c>
      <c r="I700" s="93" t="str">
        <f>IF(OR(F700=152,F700=162,F700=510),IF((OR(LEFT(RIGHT(E700,13),1)={"A","D","E","F","G","I","L","N","P","R","S","T","V"})),"Ф",""),"")</f>
        <v/>
      </c>
    </row>
    <row r="701" spans="4:9" x14ac:dyDescent="0.3">
      <c r="D701" s="48" t="str">
        <f>CONCATENATE(УЧРЕЖДЕНИЯ!$A$7)</f>
        <v>МХШ</v>
      </c>
      <c r="E701" s="92" t="s">
        <v>457</v>
      </c>
      <c r="F701" s="93">
        <v>341</v>
      </c>
      <c r="G701" s="93">
        <v>244</v>
      </c>
      <c r="H701" s="17" t="s">
        <v>183</v>
      </c>
      <c r="I701" s="93" t="str">
        <f>IF(OR(F701=152,F701=162,F701=510),IF((OR(LEFT(RIGHT(E701,13),1)={"A","D","E","F","G","I","L","N","P","R","S","T","V"})),"Ф",""),"")</f>
        <v/>
      </c>
    </row>
    <row r="702" spans="4:9" x14ac:dyDescent="0.3">
      <c r="D702" s="48" t="str">
        <f>CONCATENATE(УЧРЕЖДЕНИЯ!$A$7)</f>
        <v>МХШ</v>
      </c>
      <c r="E702" s="92" t="s">
        <v>457</v>
      </c>
      <c r="F702" s="93">
        <v>344</v>
      </c>
      <c r="G702" s="93">
        <v>244</v>
      </c>
      <c r="H702" s="17" t="s">
        <v>183</v>
      </c>
      <c r="I702" s="93" t="str">
        <f>IF(OR(F702=152,F702=162,F702=510),IF((OR(LEFT(RIGHT(E702,13),1)={"A","D","E","F","G","I","L","N","P","R","S","T","V"})),"Ф",""),"")</f>
        <v/>
      </c>
    </row>
    <row r="703" spans="4:9" x14ac:dyDescent="0.3">
      <c r="D703" s="48" t="str">
        <f>CONCATENATE(УЧРЕЖДЕНИЯ!$A$7)</f>
        <v>МХШ</v>
      </c>
      <c r="E703" s="92" t="s">
        <v>457</v>
      </c>
      <c r="F703" s="93">
        <v>345</v>
      </c>
      <c r="G703" s="93">
        <v>244</v>
      </c>
      <c r="H703" s="17" t="s">
        <v>183</v>
      </c>
      <c r="I703" s="93" t="str">
        <f>IF(OR(F703=152,F703=162,F703=510),IF((OR(LEFT(RIGHT(E703,13),1)={"A","D","E","F","G","I","L","N","P","R","S","T","V"})),"Ф",""),"")</f>
        <v/>
      </c>
    </row>
    <row r="704" spans="4:9" x14ac:dyDescent="0.3">
      <c r="D704" s="48" t="str">
        <f>CONCATENATE(УЧРЕЖДЕНИЯ!$A$7)</f>
        <v>МХШ</v>
      </c>
      <c r="E704" s="92" t="s">
        <v>457</v>
      </c>
      <c r="F704" s="93">
        <v>346</v>
      </c>
      <c r="G704" s="93">
        <v>244</v>
      </c>
      <c r="H704" s="17" t="s">
        <v>183</v>
      </c>
      <c r="I704" s="93" t="str">
        <f>IF(OR(F704=152,F704=162,F704=510),IF((OR(LEFT(RIGHT(E704,13),1)={"A","D","E","F","G","I","L","N","P","R","S","T","V"})),"Ф",""),"")</f>
        <v/>
      </c>
    </row>
    <row r="705" spans="2:9" x14ac:dyDescent="0.3">
      <c r="D705" s="48" t="str">
        <f>CONCATENATE(УЧРЕЖДЕНИЯ!$A$7)</f>
        <v>МХШ</v>
      </c>
      <c r="E705" s="92" t="s">
        <v>457</v>
      </c>
      <c r="F705" s="93">
        <v>349</v>
      </c>
      <c r="G705" s="93">
        <v>244</v>
      </c>
      <c r="H705" s="17" t="s">
        <v>183</v>
      </c>
      <c r="I705" s="93" t="str">
        <f>IF(OR(F705=152,F705=162,F705=510),IF((OR(LEFT(RIGHT(E705,13),1)={"A","D","E","F","G","I","L","N","P","R","S","T","V"})),"Ф",""),"")</f>
        <v/>
      </c>
    </row>
    <row r="706" spans="2:9" x14ac:dyDescent="0.3">
      <c r="D706" s="48" t="str">
        <f>CONCATENATE(УЧРЕЖДЕНИЯ!$A$7)</f>
        <v>МХШ</v>
      </c>
      <c r="E706" s="92" t="s">
        <v>658</v>
      </c>
      <c r="F706" s="93">
        <v>2231</v>
      </c>
      <c r="G706" s="93">
        <v>247</v>
      </c>
      <c r="H706" s="17" t="s">
        <v>183</v>
      </c>
      <c r="I706" s="93" t="str">
        <f>IF(OR(F706=152,F706=162,F706=510),IF((OR(LEFT(RIGHT(E706,13),1)={"A","D","E","F","G","I","L","N","P","R","S","T","V"})),"Ф",""),"")</f>
        <v/>
      </c>
    </row>
    <row r="707" spans="2:9" x14ac:dyDescent="0.3">
      <c r="D707" s="48" t="str">
        <f>CONCATENATE(УЧРЕЖДЕНИЯ!$A$7)</f>
        <v>МХШ</v>
      </c>
      <c r="E707" s="92" t="s">
        <v>669</v>
      </c>
      <c r="F707" s="93">
        <v>2232</v>
      </c>
      <c r="G707" s="93">
        <v>247</v>
      </c>
      <c r="H707" s="17" t="s">
        <v>183</v>
      </c>
      <c r="I707" s="93" t="str">
        <f>IF(OR(F707=152,F707=162,F707=510),IF((OR(LEFT(RIGHT(E707,13),1)={"A","D","E","F","G","I","L","N","P","R","S","T","V"})),"Ф",""),"")</f>
        <v/>
      </c>
    </row>
    <row r="708" spans="2:9" x14ac:dyDescent="0.3">
      <c r="D708" s="48" t="str">
        <f>CONCATENATE(УЧРЕЖДЕНИЯ!$A$7)</f>
        <v>МХШ</v>
      </c>
      <c r="E708" s="92" t="s">
        <v>452</v>
      </c>
      <c r="F708" s="93">
        <v>510</v>
      </c>
      <c r="G708" s="93">
        <v>510</v>
      </c>
      <c r="H708" s="17" t="s">
        <v>183</v>
      </c>
      <c r="I708" s="93" t="str">
        <f>IF(OR(F708=152,F708=162,F708=510),IF((OR(LEFT(RIGHT(E708,13),1)={"A","D","E","F","G","I","L","N","P","R","S","T","V"})),"Ф",""),"")</f>
        <v/>
      </c>
    </row>
    <row r="709" spans="2:9" x14ac:dyDescent="0.3">
      <c r="D709" s="48" t="str">
        <f>CONCATENATE(УЧРЕЖДЕНИЯ!$A$7)</f>
        <v>МХШ</v>
      </c>
      <c r="E709" s="92" t="s">
        <v>808</v>
      </c>
      <c r="F709" s="93">
        <v>610</v>
      </c>
      <c r="G709" s="93">
        <v>610</v>
      </c>
      <c r="H709" s="17" t="s">
        <v>183</v>
      </c>
      <c r="I709" s="93" t="str">
        <f>IF(OR(F709=152,F709=162,F709=510),IF((OR(LEFT(RIGHT(E709,13),1)={"A","D","E","F","G","I","L","N","P","R","S","T","V"})),"Ф",""),"")</f>
        <v/>
      </c>
    </row>
    <row r="710" spans="2:9" x14ac:dyDescent="0.3">
      <c r="D710" s="48" t="str">
        <f>CONCATENATE(УЧРЕЖДЕНИЯ!$A$7)</f>
        <v>МХШ</v>
      </c>
      <c r="E710" s="92" t="s">
        <v>459</v>
      </c>
      <c r="F710" s="93">
        <v>291</v>
      </c>
      <c r="G710" s="93">
        <v>851</v>
      </c>
      <c r="H710" s="17" t="s">
        <v>183</v>
      </c>
      <c r="I710" s="93" t="str">
        <f>IF(OR(F710=152,F710=162,F710=510),IF((OR(LEFT(RIGHT(E710,13),1)={"A","D","E","F","G","I","L","N","P","R","S","T","V"})),"Ф",""),"")</f>
        <v/>
      </c>
    </row>
    <row r="711" spans="2:9" x14ac:dyDescent="0.3">
      <c r="D711" s="48" t="str">
        <f>CONCATENATE(УЧРЕЖДЕНИЯ!$A$7)</f>
        <v>МХШ</v>
      </c>
      <c r="E711" s="92" t="s">
        <v>460</v>
      </c>
      <c r="F711" s="93">
        <v>291</v>
      </c>
      <c r="G711" s="93">
        <v>853</v>
      </c>
      <c r="H711" s="17" t="s">
        <v>183</v>
      </c>
      <c r="I711" s="93" t="str">
        <f>IF(OR(F711=152,F711=162,F711=510),IF((OR(LEFT(RIGHT(E711,13),1)={"A","D","E","F","G","I","L","N","P","R","S","T","V"})),"Ф",""),"")</f>
        <v/>
      </c>
    </row>
    <row r="712" spans="2:9" x14ac:dyDescent="0.3">
      <c r="D712" s="48" t="str">
        <f>CONCATENATE(УЧРЕЖДЕНИЯ!$A$7)</f>
        <v>МХШ</v>
      </c>
      <c r="E712" s="92" t="s">
        <v>460</v>
      </c>
      <c r="F712" s="93">
        <v>293</v>
      </c>
      <c r="G712" s="93">
        <v>853</v>
      </c>
      <c r="H712" s="17" t="s">
        <v>183</v>
      </c>
      <c r="I712" s="93" t="str">
        <f>IF(OR(F712=152,F712=162,F712=510),IF((OR(LEFT(RIGHT(E712,13),1)={"A","D","E","F","G","I","L","N","P","R","S","T","V"})),"Ф",""),"")</f>
        <v/>
      </c>
    </row>
    <row r="713" spans="2:9" x14ac:dyDescent="0.3">
      <c r="D713" s="48" t="str">
        <f>CONCATENATE(УЧРЕЖДЕНИЯ!$A$7)</f>
        <v>МХШ</v>
      </c>
      <c r="E713" s="92" t="s">
        <v>460</v>
      </c>
      <c r="F713" s="93">
        <v>295</v>
      </c>
      <c r="G713" s="93">
        <v>853</v>
      </c>
      <c r="H713" s="17" t="s">
        <v>183</v>
      </c>
      <c r="I713" s="93" t="str">
        <f>IF(OR(F713=152,F713=162,F713=510),IF((OR(LEFT(RIGHT(E713,13),1)={"A","D","E","F","G","I","L","N","P","R","S","T","V"})),"Ф",""),"")</f>
        <v/>
      </c>
    </row>
    <row r="714" spans="2:9" x14ac:dyDescent="0.3">
      <c r="D714" s="48" t="str">
        <f>CONCATENATE(УЧРЕЖДЕНИЯ!$A$7)</f>
        <v>МХШ</v>
      </c>
      <c r="E714" s="92" t="s">
        <v>462</v>
      </c>
      <c r="F714" s="93">
        <v>131</v>
      </c>
      <c r="G714" s="93">
        <v>130</v>
      </c>
      <c r="H714" s="17" t="s">
        <v>183</v>
      </c>
      <c r="I714" s="93" t="str">
        <f>IF(OR(F714=152,F714=162,F714=510),IF((OR(LEFT(RIGHT(E714,13),1)={"A","D","E","F","G","I","L","N","P","R","S","T","V"})),"Ф",""),"")</f>
        <v/>
      </c>
    </row>
    <row r="715" spans="2:9" x14ac:dyDescent="0.3">
      <c r="D715" s="48" t="str">
        <f>CONCATENATE(УЧРЕЖДЕНИЯ!$A$7)</f>
        <v>МХШ</v>
      </c>
      <c r="E715" s="92" t="s">
        <v>463</v>
      </c>
      <c r="F715" s="93">
        <v>211</v>
      </c>
      <c r="G715" s="93">
        <v>111</v>
      </c>
      <c r="H715" s="17" t="s">
        <v>183</v>
      </c>
      <c r="I715" s="93" t="str">
        <f>IF(OR(F715=152,F715=162,F715=510),IF((OR(LEFT(RIGHT(E715,13),1)={"A","D","E","F","G","I","L","N","P","R","S","T","V"})),"Ф",""),"")</f>
        <v/>
      </c>
    </row>
    <row r="716" spans="2:9" x14ac:dyDescent="0.3">
      <c r="D716" s="48" t="str">
        <f>CONCATENATE(УЧРЕЖДЕНИЯ!$A$7)</f>
        <v>МХШ</v>
      </c>
      <c r="E716" s="92" t="s">
        <v>464</v>
      </c>
      <c r="F716" s="93">
        <v>213</v>
      </c>
      <c r="G716" s="93">
        <v>119</v>
      </c>
      <c r="H716" s="17" t="s">
        <v>183</v>
      </c>
      <c r="I716" s="93" t="str">
        <f>IF(OR(F716=152,F716=162,F716=510),IF((OR(LEFT(RIGHT(E716,13),1)={"A","D","E","F","G","I","L","N","P","R","S","T","V"})),"Ф",""),"")</f>
        <v/>
      </c>
    </row>
    <row r="717" spans="2:9" x14ac:dyDescent="0.3">
      <c r="D717" s="48" t="str">
        <f>CONCATENATE(УЧРЕЖДЕНИЯ!$A$7)</f>
        <v>МХШ</v>
      </c>
      <c r="E717" s="92" t="s">
        <v>461</v>
      </c>
      <c r="F717" s="93">
        <v>510</v>
      </c>
      <c r="G717" s="93">
        <v>510</v>
      </c>
      <c r="H717" s="17" t="s">
        <v>183</v>
      </c>
      <c r="I717" s="93" t="str">
        <f>IF(OR(F717=152,F717=162,F717=510),IF((OR(LEFT(RIGHT(E717,13),1)={"A","D","E","F","G","I","L","N","P","R","S","T","V"})),"Ф",""),"")</f>
        <v/>
      </c>
    </row>
    <row r="718" spans="2:9" x14ac:dyDescent="0.3">
      <c r="B718" s="48" t="s">
        <v>707</v>
      </c>
      <c r="C718" s="48" t="s">
        <v>129</v>
      </c>
      <c r="D718" s="48" t="str">
        <f>CONCATENATE(УЧРЕЖДЕНИЯ!$A$8)</f>
        <v>ЦБС</v>
      </c>
      <c r="E718" s="92" t="s">
        <v>466</v>
      </c>
      <c r="F718" s="93">
        <v>131</v>
      </c>
      <c r="G718" s="93">
        <v>130</v>
      </c>
      <c r="H718" s="17" t="s">
        <v>187</v>
      </c>
      <c r="I718" s="93" t="str">
        <f>IF(OR(F718=152,F718=162,F718=510),IF((OR(LEFT(RIGHT(E718,13),1)={"A","D","E","F","G","I","L","N","P","R","S","T","V"})),"Ф",""),"")</f>
        <v/>
      </c>
    </row>
    <row r="719" spans="2:9" x14ac:dyDescent="0.3">
      <c r="D719" s="48" t="str">
        <f>CONCATENATE(УЧРЕЖДЕНИЯ!$A$8)</f>
        <v>ЦБС</v>
      </c>
      <c r="E719" s="92" t="s">
        <v>467</v>
      </c>
      <c r="F719" s="93">
        <v>211</v>
      </c>
      <c r="G719" s="93">
        <v>111</v>
      </c>
      <c r="H719" s="17" t="s">
        <v>187</v>
      </c>
      <c r="I719" s="93" t="str">
        <f>IF(OR(F719=152,F719=162,F719=510),IF((OR(LEFT(RIGHT(E719,13),1)={"A","D","E","F","G","I","L","N","P","R","S","T","V"})),"Ф",""),"")</f>
        <v/>
      </c>
    </row>
    <row r="720" spans="2:9" x14ac:dyDescent="0.3">
      <c r="D720" s="48" t="str">
        <f>CONCATENATE(УЧРЕЖДЕНИЯ!$A$8)</f>
        <v>ЦБС</v>
      </c>
      <c r="E720" s="92" t="s">
        <v>467</v>
      </c>
      <c r="F720" s="93">
        <v>266</v>
      </c>
      <c r="G720" s="93">
        <v>111</v>
      </c>
      <c r="H720" s="17" t="s">
        <v>187</v>
      </c>
      <c r="I720" s="93" t="str">
        <f>IF(OR(F720=152,F720=162,F720=510),IF((OR(LEFT(RIGHT(E720,13),1)={"A","D","E","F","G","I","L","N","P","R","S","T","V"})),"Ф",""),"")</f>
        <v/>
      </c>
    </row>
    <row r="721" spans="4:9" x14ac:dyDescent="0.3">
      <c r="D721" s="48" t="str">
        <f>CONCATENATE(УЧРЕЖДЕНИЯ!$A$8)</f>
        <v>ЦБС</v>
      </c>
      <c r="E721" s="92" t="s">
        <v>468</v>
      </c>
      <c r="F721" s="93">
        <v>212</v>
      </c>
      <c r="G721" s="93">
        <v>112</v>
      </c>
      <c r="H721" s="17" t="s">
        <v>187</v>
      </c>
      <c r="I721" s="93" t="str">
        <f>IF(OR(F721=152,F721=162,F721=510),IF((OR(LEFT(RIGHT(E721,13),1)={"A","D","E","F","G","I","L","N","P","R","S","T","V"})),"Ф",""),"")</f>
        <v/>
      </c>
    </row>
    <row r="722" spans="4:9" x14ac:dyDescent="0.3">
      <c r="D722" s="48" t="str">
        <f>CONCATENATE(УЧРЕЖДЕНИЯ!$A$8)</f>
        <v>ЦБС</v>
      </c>
      <c r="E722" s="92" t="s">
        <v>468</v>
      </c>
      <c r="F722" s="93">
        <v>226</v>
      </c>
      <c r="G722" s="93">
        <v>112</v>
      </c>
      <c r="H722" s="17" t="s">
        <v>187</v>
      </c>
      <c r="I722" s="93" t="str">
        <f>IF(OR(F722=152,F722=162,F722=510),IF((OR(LEFT(RIGHT(E722,13),1)={"A","D","E","F","G","I","L","N","P","R","S","T","V"})),"Ф",""),"")</f>
        <v/>
      </c>
    </row>
    <row r="723" spans="4:9" x14ac:dyDescent="0.3">
      <c r="D723" s="48" t="str">
        <f>CONCATENATE(УЧРЕЖДЕНИЯ!$A$8)</f>
        <v>ЦБС</v>
      </c>
      <c r="E723" s="92" t="s">
        <v>468</v>
      </c>
      <c r="F723" s="93">
        <v>266</v>
      </c>
      <c r="G723" s="93">
        <v>112</v>
      </c>
      <c r="H723" s="17" t="s">
        <v>187</v>
      </c>
      <c r="I723" s="93" t="str">
        <f>IF(OR(F723=152,F723=162,F723=510),IF((OR(LEFT(RIGHT(E723,13),1)={"A","D","E","F","G","I","L","N","P","R","S","T","V"})),"Ф",""),"")</f>
        <v/>
      </c>
    </row>
    <row r="724" spans="4:9" x14ac:dyDescent="0.3">
      <c r="D724" s="48" t="str">
        <f>CONCATENATE(УЧРЕЖДЕНИЯ!$A$8)</f>
        <v>ЦБС</v>
      </c>
      <c r="E724" s="92" t="s">
        <v>469</v>
      </c>
      <c r="F724" s="93">
        <v>213</v>
      </c>
      <c r="G724" s="93">
        <v>119</v>
      </c>
      <c r="H724" s="17" t="s">
        <v>187</v>
      </c>
      <c r="I724" s="93" t="str">
        <f>IF(OR(F724=152,F724=162,F724=510),IF((OR(LEFT(RIGHT(E724,13),1)={"A","D","E","F","G","I","L","N","P","R","S","T","V"})),"Ф",""),"")</f>
        <v/>
      </c>
    </row>
    <row r="725" spans="4:9" x14ac:dyDescent="0.3">
      <c r="D725" s="48" t="str">
        <f>CONCATENATE(УЧРЕЖДЕНИЯ!$A$8)</f>
        <v>ЦБС</v>
      </c>
      <c r="E725" s="92" t="s">
        <v>470</v>
      </c>
      <c r="F725" s="93">
        <v>221</v>
      </c>
      <c r="G725" s="93">
        <v>244</v>
      </c>
      <c r="H725" s="17" t="s">
        <v>187</v>
      </c>
      <c r="I725" s="93" t="str">
        <f>IF(OR(F725=152,F725=162,F725=510),IF((OR(LEFT(RIGHT(E725,13),1)={"A","D","E","F","G","I","L","N","P","R","S","T","V"})),"Ф",""),"")</f>
        <v/>
      </c>
    </row>
    <row r="726" spans="4:9" x14ac:dyDescent="0.3">
      <c r="D726" s="48" t="str">
        <f>CONCATENATE(УЧРЕЖДЕНИЯ!$A$8)</f>
        <v>ЦБС</v>
      </c>
      <c r="E726" s="92" t="s">
        <v>470</v>
      </c>
      <c r="F726" s="93">
        <v>222</v>
      </c>
      <c r="G726" s="93">
        <v>244</v>
      </c>
      <c r="H726" s="17" t="s">
        <v>187</v>
      </c>
      <c r="I726" s="93" t="str">
        <f>IF(OR(F726=152,F726=162,F726=510),IF((OR(LEFT(RIGHT(E726,13),1)={"A","D","E","F","G","I","L","N","P","R","S","T","V"})),"Ф",""),"")</f>
        <v/>
      </c>
    </row>
    <row r="727" spans="4:9" x14ac:dyDescent="0.3">
      <c r="D727" s="48" t="str">
        <f>CONCATENATE(УЧРЕЖДЕНИЯ!$A$8)</f>
        <v>ЦБС</v>
      </c>
      <c r="E727" s="92" t="s">
        <v>779</v>
      </c>
      <c r="F727" s="93">
        <v>2232</v>
      </c>
      <c r="G727" s="93">
        <v>244</v>
      </c>
      <c r="H727" s="17" t="s">
        <v>187</v>
      </c>
      <c r="I727" s="93" t="str">
        <f>IF(OR(F727=152,F727=162,F727=510),IF((OR(LEFT(RIGHT(E727,13),1)={"A","D","E","F","G","I","L","N","P","R","S","T","V"})),"Ф",""),"")</f>
        <v/>
      </c>
    </row>
    <row r="728" spans="4:9" x14ac:dyDescent="0.3">
      <c r="D728" s="48" t="str">
        <f>CONCATENATE(УЧРЕЖДЕНИЯ!$A$8)</f>
        <v>ЦБС</v>
      </c>
      <c r="E728" s="92" t="s">
        <v>471</v>
      </c>
      <c r="F728" s="93">
        <v>2233</v>
      </c>
      <c r="G728" s="93">
        <v>244</v>
      </c>
      <c r="H728" s="17" t="s">
        <v>187</v>
      </c>
      <c r="I728" s="93" t="str">
        <f>IF(OR(F728=152,F728=162,F728=510),IF((OR(LEFT(RIGHT(E728,13),1)={"A","D","E","F","G","I","L","N","P","R","S","T","V"})),"Ф",""),"")</f>
        <v/>
      </c>
    </row>
    <row r="729" spans="4:9" x14ac:dyDescent="0.3">
      <c r="D729" s="48" t="str">
        <f>CONCATENATE(УЧРЕЖДЕНИЯ!$A$8)</f>
        <v>ЦБС</v>
      </c>
      <c r="E729" s="92" t="s">
        <v>639</v>
      </c>
      <c r="F729" s="93">
        <v>2234</v>
      </c>
      <c r="G729" s="93">
        <v>244</v>
      </c>
      <c r="H729" s="17" t="s">
        <v>187</v>
      </c>
      <c r="I729" s="93" t="str">
        <f>IF(OR(F729=152,F729=162,F729=510),IF((OR(LEFT(RIGHT(E729,13),1)={"A","D","E","F","G","I","L","N","P","R","S","T","V"})),"Ф",""),"")</f>
        <v/>
      </c>
    </row>
    <row r="730" spans="4:9" x14ac:dyDescent="0.3">
      <c r="D730" s="48" t="str">
        <f>CONCATENATE(УЧРЕЖДЕНИЯ!$A$8)</f>
        <v>ЦБС</v>
      </c>
      <c r="E730" s="92" t="s">
        <v>470</v>
      </c>
      <c r="F730" s="93">
        <v>225</v>
      </c>
      <c r="G730" s="93">
        <v>244</v>
      </c>
      <c r="H730" s="17" t="s">
        <v>187</v>
      </c>
      <c r="I730" s="93" t="str">
        <f>IF(OR(F730=152,F730=162,F730=510),IF((OR(LEFT(RIGHT(E730,13),1)={"A","D","E","F","G","I","L","N","P","R","S","T","V"})),"Ф",""),"")</f>
        <v/>
      </c>
    </row>
    <row r="731" spans="4:9" x14ac:dyDescent="0.3">
      <c r="D731" s="48" t="str">
        <f>CONCATENATE(УЧРЕЖДЕНИЯ!$A$8)</f>
        <v>ЦБС</v>
      </c>
      <c r="E731" s="92" t="s">
        <v>470</v>
      </c>
      <c r="F731" s="93">
        <v>226</v>
      </c>
      <c r="G731" s="93">
        <v>244</v>
      </c>
      <c r="H731" s="17" t="s">
        <v>187</v>
      </c>
      <c r="I731" s="93" t="str">
        <f>IF(OR(F731=152,F731=162,F731=510),IF((OR(LEFT(RIGHT(E731,13),1)={"A","D","E","F","G","I","L","N","P","R","S","T","V"})),"Ф",""),"")</f>
        <v/>
      </c>
    </row>
    <row r="732" spans="4:9" x14ac:dyDescent="0.3">
      <c r="D732" s="48" t="str">
        <f>CONCATENATE(УЧРЕЖДЕНИЯ!$A$8)</f>
        <v>ЦБС</v>
      </c>
      <c r="E732" s="92" t="s">
        <v>470</v>
      </c>
      <c r="F732" s="93">
        <v>296</v>
      </c>
      <c r="G732" s="93">
        <v>244</v>
      </c>
      <c r="H732" s="17" t="s">
        <v>187</v>
      </c>
      <c r="I732" s="93" t="str">
        <f>IF(OR(F732=152,F732=162,F732=510),IF((OR(LEFT(RIGHT(E732,13),1)={"A","D","E","F","G","I","L","N","P","R","S","T","V"})),"Ф",""),"")</f>
        <v/>
      </c>
    </row>
    <row r="733" spans="4:9" x14ac:dyDescent="0.3">
      <c r="D733" s="48" t="str">
        <f>CONCATENATE(УЧРЕЖДЕНИЯ!$A$8)</f>
        <v>ЦБС</v>
      </c>
      <c r="E733" s="92" t="s">
        <v>470</v>
      </c>
      <c r="F733" s="93">
        <v>310</v>
      </c>
      <c r="G733" s="93">
        <v>244</v>
      </c>
      <c r="H733" s="17" t="s">
        <v>187</v>
      </c>
      <c r="I733" s="93" t="str">
        <f>IF(OR(F733=152,F733=162,F733=510),IF((OR(LEFT(RIGHT(E733,13),1)={"A","D","E","F","G","I","L","N","P","R","S","T","V"})),"Ф",""),"")</f>
        <v/>
      </c>
    </row>
    <row r="734" spans="4:9" x14ac:dyDescent="0.3">
      <c r="D734" s="48" t="str">
        <f>CONCATENATE(УЧРЕЖДЕНИЯ!$A$8)</f>
        <v>ЦБС</v>
      </c>
      <c r="E734" s="92" t="s">
        <v>470</v>
      </c>
      <c r="F734" s="93">
        <v>341</v>
      </c>
      <c r="G734" s="93">
        <v>244</v>
      </c>
      <c r="H734" s="17" t="s">
        <v>187</v>
      </c>
      <c r="I734" s="93" t="str">
        <f>IF(OR(F734=152,F734=162,F734=510),IF((OR(LEFT(RIGHT(E734,13),1)={"A","D","E","F","G","I","L","N","P","R","S","T","V"})),"Ф",""),"")</f>
        <v/>
      </c>
    </row>
    <row r="735" spans="4:9" x14ac:dyDescent="0.3">
      <c r="D735" s="48" t="str">
        <f>CONCATENATE(УЧРЕЖДЕНИЯ!$A$8)</f>
        <v>ЦБС</v>
      </c>
      <c r="E735" s="92" t="s">
        <v>470</v>
      </c>
      <c r="F735" s="93">
        <v>343</v>
      </c>
      <c r="G735" s="93">
        <v>244</v>
      </c>
      <c r="H735" s="17" t="s">
        <v>187</v>
      </c>
      <c r="I735" s="93" t="str">
        <f>IF(OR(F735=152,F735=162,F735=510),IF((OR(LEFT(RIGHT(E735,13),1)={"A","D","E","F","G","I","L","N","P","R","S","T","V"})),"Ф",""),"")</f>
        <v/>
      </c>
    </row>
    <row r="736" spans="4:9" x14ac:dyDescent="0.3">
      <c r="D736" s="48" t="str">
        <f>CONCATENATE(УЧРЕЖДЕНИЯ!$A$8)</f>
        <v>ЦБС</v>
      </c>
      <c r="E736" s="92" t="s">
        <v>470</v>
      </c>
      <c r="F736" s="93">
        <v>344</v>
      </c>
      <c r="G736" s="93">
        <v>244</v>
      </c>
      <c r="H736" s="17" t="s">
        <v>187</v>
      </c>
      <c r="I736" s="93" t="str">
        <f>IF(OR(F736=152,F736=162,F736=510),IF((OR(LEFT(RIGHT(E736,13),1)={"A","D","E","F","G","I","L","N","P","R","S","T","V"})),"Ф",""),"")</f>
        <v/>
      </c>
    </row>
    <row r="737" spans="4:9" x14ac:dyDescent="0.3">
      <c r="D737" s="48" t="str">
        <f>CONCATENATE(УЧРЕЖДЕНИЯ!$A$8)</f>
        <v>ЦБС</v>
      </c>
      <c r="E737" s="92" t="s">
        <v>470</v>
      </c>
      <c r="F737" s="93">
        <v>345</v>
      </c>
      <c r="G737" s="93">
        <v>244</v>
      </c>
      <c r="H737" s="17" t="s">
        <v>187</v>
      </c>
      <c r="I737" s="93" t="str">
        <f>IF(OR(F737=152,F737=162,F737=510),IF((OR(LEFT(RIGHT(E737,13),1)={"A","D","E","F","G","I","L","N","P","R","S","T","V"})),"Ф",""),"")</f>
        <v/>
      </c>
    </row>
    <row r="738" spans="4:9" x14ac:dyDescent="0.3">
      <c r="D738" s="48" t="str">
        <f>CONCATENATE(УЧРЕЖДЕНИЯ!$A$8)</f>
        <v>ЦБС</v>
      </c>
      <c r="E738" s="92" t="s">
        <v>470</v>
      </c>
      <c r="F738" s="93">
        <v>346</v>
      </c>
      <c r="G738" s="93">
        <v>244</v>
      </c>
      <c r="H738" s="17" t="s">
        <v>187</v>
      </c>
      <c r="I738" s="93" t="str">
        <f>IF(OR(F738=152,F738=162,F738=510),IF((OR(LEFT(RIGHT(E738,13),1)={"A","D","E","F","G","I","L","N","P","R","S","T","V"})),"Ф",""),"")</f>
        <v/>
      </c>
    </row>
    <row r="739" spans="4:9" x14ac:dyDescent="0.3">
      <c r="D739" s="48" t="str">
        <f>CONCATENATE(УЧРЕЖДЕНИЯ!$A$8)</f>
        <v>ЦБС</v>
      </c>
      <c r="E739" s="92" t="s">
        <v>470</v>
      </c>
      <c r="F739" s="93">
        <v>349</v>
      </c>
      <c r="G739" s="93">
        <v>244</v>
      </c>
      <c r="H739" s="17" t="s">
        <v>187</v>
      </c>
      <c r="I739" s="93" t="str">
        <f>IF(OR(F739=152,F739=162,F739=510),IF((OR(LEFT(RIGHT(E739,13),1)={"A","D","E","F","G","I","L","N","P","R","S","T","V"})),"Ф",""),"")</f>
        <v/>
      </c>
    </row>
    <row r="740" spans="4:9" x14ac:dyDescent="0.3">
      <c r="D740" s="48" t="str">
        <f>CONCATENATE(УЧРЕЖДЕНИЯ!$A$8)</f>
        <v>ЦБС</v>
      </c>
      <c r="E740" s="92" t="s">
        <v>659</v>
      </c>
      <c r="F740" s="93">
        <v>2231</v>
      </c>
      <c r="G740" s="93">
        <v>247</v>
      </c>
      <c r="H740" s="17" t="s">
        <v>187</v>
      </c>
      <c r="I740" s="93" t="str">
        <f>IF(OR(F740=152,F740=162,F740=510),IF((OR(LEFT(RIGHT(E740,13),1)={"A","D","E","F","G","I","L","N","P","R","S","T","V"})),"Ф",""),"")</f>
        <v/>
      </c>
    </row>
    <row r="741" spans="4:9" x14ac:dyDescent="0.3">
      <c r="D741" s="48" t="str">
        <f>CONCATENATE(УЧРЕЖДЕНИЯ!$A$8)</f>
        <v>ЦБС</v>
      </c>
      <c r="E741" s="92" t="s">
        <v>670</v>
      </c>
      <c r="F741" s="93">
        <v>2232</v>
      </c>
      <c r="G741" s="93">
        <v>247</v>
      </c>
      <c r="H741" s="17" t="s">
        <v>187</v>
      </c>
      <c r="I741" s="93" t="str">
        <f>IF(OR(F741=152,F741=162,F741=510),IF((OR(LEFT(RIGHT(E741,13),1)={"A","D","E","F","G","I","L","N","P","R","S","T","V"})),"Ф",""),"")</f>
        <v/>
      </c>
    </row>
    <row r="742" spans="4:9" x14ac:dyDescent="0.3">
      <c r="D742" s="48" t="str">
        <f>CONCATENATE(УЧРЕЖДЕНИЯ!$A$8)</f>
        <v>ЦБС</v>
      </c>
      <c r="E742" s="92" t="s">
        <v>465</v>
      </c>
      <c r="F742" s="93">
        <v>510</v>
      </c>
      <c r="G742" s="93">
        <v>510</v>
      </c>
      <c r="H742" s="17" t="s">
        <v>187</v>
      </c>
      <c r="I742" s="93" t="str">
        <f>IF(OR(F742=152,F742=162,F742=510),IF((OR(LEFT(RIGHT(E742,13),1)={"A","D","E","F","G","I","L","N","P","R","S","T","V"})),"Ф",""),"")</f>
        <v/>
      </c>
    </row>
    <row r="743" spans="4:9" x14ac:dyDescent="0.3">
      <c r="D743" s="48" t="str">
        <f>CONCATENATE(УЧРЕЖДЕНИЯ!$A$8)</f>
        <v>ЦБС</v>
      </c>
      <c r="E743" s="92" t="s">
        <v>806</v>
      </c>
      <c r="F743" s="93">
        <v>610</v>
      </c>
      <c r="G743" s="93">
        <v>610</v>
      </c>
      <c r="H743" s="17" t="s">
        <v>187</v>
      </c>
      <c r="I743" s="93" t="str">
        <f>IF(OR(F743=152,F743=162,F743=510),IF((OR(LEFT(RIGHT(E743,13),1)={"A","D","E","F","G","I","L","N","P","R","S","T","V"})),"Ф",""),"")</f>
        <v/>
      </c>
    </row>
    <row r="744" spans="4:9" x14ac:dyDescent="0.3">
      <c r="D744" s="48" t="str">
        <f>CONCATENATE(УЧРЕЖДЕНИЯ!$A$8)</f>
        <v>ЦБС</v>
      </c>
      <c r="E744" s="92" t="s">
        <v>472</v>
      </c>
      <c r="F744" s="93">
        <v>296</v>
      </c>
      <c r="G744" s="93">
        <v>831</v>
      </c>
      <c r="H744" s="17" t="s">
        <v>187</v>
      </c>
      <c r="I744" s="93" t="str">
        <f>IF(OR(F744=152,F744=162,F744=510),IF((OR(LEFT(RIGHT(E744,13),1)={"A","D","E","F","G","I","L","N","P","R","S","T","V"})),"Ф",""),"")</f>
        <v/>
      </c>
    </row>
    <row r="745" spans="4:9" x14ac:dyDescent="0.3">
      <c r="D745" s="48" t="str">
        <f>CONCATENATE(УЧРЕЖДЕНИЯ!$A$8)</f>
        <v>ЦБС</v>
      </c>
      <c r="E745" s="92" t="s">
        <v>473</v>
      </c>
      <c r="F745" s="93">
        <v>291</v>
      </c>
      <c r="G745" s="93">
        <v>851</v>
      </c>
      <c r="H745" s="17" t="s">
        <v>187</v>
      </c>
      <c r="I745" s="93" t="str">
        <f>IF(OR(F745=152,F745=162,F745=510),IF((OR(LEFT(RIGHT(E745,13),1)={"A","D","E","F","G","I","L","N","P","R","S","T","V"})),"Ф",""),"")</f>
        <v/>
      </c>
    </row>
    <row r="746" spans="4:9" x14ac:dyDescent="0.3">
      <c r="D746" s="48" t="str">
        <f>CONCATENATE(УЧРЕЖДЕНИЯ!$A$8)</f>
        <v>ЦБС</v>
      </c>
      <c r="E746" s="92" t="s">
        <v>474</v>
      </c>
      <c r="F746" s="93">
        <v>291</v>
      </c>
      <c r="G746" s="93">
        <v>852</v>
      </c>
      <c r="H746" s="17" t="s">
        <v>187</v>
      </c>
      <c r="I746" s="93" t="str">
        <f>IF(OR(F746=152,F746=162,F746=510),IF((OR(LEFT(RIGHT(E746,13),1)={"A","D","E","F","G","I","L","N","P","R","S","T","V"})),"Ф",""),"")</f>
        <v/>
      </c>
    </row>
    <row r="747" spans="4:9" x14ac:dyDescent="0.3">
      <c r="D747" s="48" t="str">
        <f>CONCATENATE(УЧРЕЖДЕНИЯ!$A$8)</f>
        <v>ЦБС</v>
      </c>
      <c r="E747" s="92" t="s">
        <v>475</v>
      </c>
      <c r="F747" s="93">
        <v>291</v>
      </c>
      <c r="G747" s="93">
        <v>853</v>
      </c>
      <c r="H747" s="17" t="s">
        <v>187</v>
      </c>
      <c r="I747" s="93" t="str">
        <f>IF(OR(F747=152,F747=162,F747=510),IF((OR(LEFT(RIGHT(E747,13),1)={"A","D","E","F","G","I","L","N","P","R","S","T","V"})),"Ф",""),"")</f>
        <v/>
      </c>
    </row>
    <row r="748" spans="4:9" x14ac:dyDescent="0.3">
      <c r="D748" s="48" t="str">
        <f>CONCATENATE(УЧРЕЖДЕНИЯ!$A$8)</f>
        <v>ЦБС</v>
      </c>
      <c r="E748" s="92" t="s">
        <v>475</v>
      </c>
      <c r="F748" s="93">
        <v>292</v>
      </c>
      <c r="G748" s="93">
        <v>853</v>
      </c>
      <c r="H748" s="17" t="s">
        <v>187</v>
      </c>
      <c r="I748" s="93" t="str">
        <f>IF(OR(F748=152,F748=162,F748=510),IF((OR(LEFT(RIGHT(E748,13),1)={"A","D","E","F","G","I","L","N","P","R","S","T","V"})),"Ф",""),"")</f>
        <v/>
      </c>
    </row>
    <row r="749" spans="4:9" x14ac:dyDescent="0.3">
      <c r="D749" s="48" t="str">
        <f>CONCATENATE(УЧРЕЖДЕНИЯ!$A$8)</f>
        <v>ЦБС</v>
      </c>
      <c r="E749" s="92" t="s">
        <v>476</v>
      </c>
      <c r="F749" s="93">
        <v>510</v>
      </c>
      <c r="G749" s="93">
        <v>510</v>
      </c>
      <c r="H749" s="17" t="s">
        <v>187</v>
      </c>
      <c r="I749" s="93" t="str">
        <f>IF(OR(F749=152,F749=162,F749=510),IF((OR(LEFT(RIGHT(E749,13),1)={"A","D","E","F","G","I","L","N","P","R","S","T","V"})),"Ф",""),"")</f>
        <v/>
      </c>
    </row>
    <row r="750" spans="4:9" x14ac:dyDescent="0.3">
      <c r="D750" s="48" t="str">
        <f>CONCATENATE(УЧРЕЖДЕНИЯ!$A$8)</f>
        <v>ЦБС</v>
      </c>
      <c r="E750" s="92" t="s">
        <v>477</v>
      </c>
      <c r="F750" s="93">
        <v>131</v>
      </c>
      <c r="G750" s="93">
        <v>130</v>
      </c>
      <c r="H750" s="17" t="s">
        <v>187</v>
      </c>
      <c r="I750" s="93" t="str">
        <f>IF(OR(F750=152,F750=162,F750=510),IF((OR(LEFT(RIGHT(E750,13),1)={"A","D","E","F","G","I","L","N","P","R","S","T","V"})),"Ф",""),"")</f>
        <v/>
      </c>
    </row>
    <row r="751" spans="4:9" x14ac:dyDescent="0.3">
      <c r="D751" s="48" t="str">
        <f>CONCATENATE(УЧРЕЖДЕНИЯ!$A$8)</f>
        <v>ЦБС</v>
      </c>
      <c r="E751" s="92" t="s">
        <v>478</v>
      </c>
      <c r="F751" s="93">
        <v>211</v>
      </c>
      <c r="G751" s="93">
        <v>111</v>
      </c>
      <c r="H751" s="17" t="s">
        <v>187</v>
      </c>
      <c r="I751" s="93" t="str">
        <f>IF(OR(F751=152,F751=162,F751=510),IF((OR(LEFT(RIGHT(E751,13),1)={"A","D","E","F","G","I","L","N","P","R","S","T","V"})),"Ф",""),"")</f>
        <v/>
      </c>
    </row>
    <row r="752" spans="4:9" x14ac:dyDescent="0.3">
      <c r="D752" s="48" t="str">
        <f>CONCATENATE(УЧРЕЖДЕНИЯ!$A$8)</f>
        <v>ЦБС</v>
      </c>
      <c r="E752" s="92" t="s">
        <v>479</v>
      </c>
      <c r="F752" s="93">
        <v>213</v>
      </c>
      <c r="G752" s="93">
        <v>119</v>
      </c>
      <c r="H752" s="17" t="s">
        <v>187</v>
      </c>
      <c r="I752" s="93" t="str">
        <f>IF(OR(F752=152,F752=162,F752=510),IF((OR(LEFT(RIGHT(E752,13),1)={"A","D","E","F","G","I","L","N","P","R","S","T","V"})),"Ф",""),"")</f>
        <v/>
      </c>
    </row>
    <row r="753" spans="2:9" x14ac:dyDescent="0.3">
      <c r="B753" s="48" t="s">
        <v>707</v>
      </c>
      <c r="C753" s="48" t="s">
        <v>130</v>
      </c>
      <c r="D753" s="48" t="str">
        <f>CONCATENATE(УЧРЕЖДЕНИЯ!$A$9)</f>
        <v>музей</v>
      </c>
      <c r="E753" s="92" t="s">
        <v>481</v>
      </c>
      <c r="F753" s="93">
        <v>131</v>
      </c>
      <c r="G753" s="93">
        <v>130</v>
      </c>
      <c r="H753" s="17" t="s">
        <v>187</v>
      </c>
      <c r="I753" s="93" t="str">
        <f>IF(OR(F753=152,F753=162,F753=510),IF((OR(LEFT(RIGHT(E753,13),1)={"A","D","E","F","G","I","L","N","P","R","S","T","V"})),"Ф",""),"")</f>
        <v/>
      </c>
    </row>
    <row r="754" spans="2:9" x14ac:dyDescent="0.3">
      <c r="D754" s="48" t="str">
        <f>CONCATENATE(УЧРЕЖДЕНИЯ!$A$9)</f>
        <v>музей</v>
      </c>
      <c r="E754" s="92" t="s">
        <v>482</v>
      </c>
      <c r="F754" s="93">
        <v>211</v>
      </c>
      <c r="G754" s="93">
        <v>111</v>
      </c>
      <c r="H754" s="17" t="s">
        <v>187</v>
      </c>
      <c r="I754" s="93" t="str">
        <f>IF(OR(F754=152,F754=162,F754=510),IF((OR(LEFT(RIGHT(E754,13),1)={"A","D","E","F","G","I","L","N","P","R","S","T","V"})),"Ф",""),"")</f>
        <v/>
      </c>
    </row>
    <row r="755" spans="2:9" x14ac:dyDescent="0.3">
      <c r="D755" s="48" t="str">
        <f>CONCATENATE(УЧРЕЖДЕНИЯ!$A$9)</f>
        <v>музей</v>
      </c>
      <c r="E755" s="92" t="s">
        <v>482</v>
      </c>
      <c r="F755" s="93">
        <v>266</v>
      </c>
      <c r="G755" s="93">
        <v>111</v>
      </c>
      <c r="H755" s="17" t="s">
        <v>187</v>
      </c>
      <c r="I755" s="93" t="str">
        <f>IF(OR(F755=152,F755=162,F755=510),IF((OR(LEFT(RIGHT(E755,13),1)={"A","D","E","F","G","I","L","N","P","R","S","T","V"})),"Ф",""),"")</f>
        <v/>
      </c>
    </row>
    <row r="756" spans="2:9" x14ac:dyDescent="0.3">
      <c r="D756" s="48" t="str">
        <f>CONCATENATE(УЧРЕЖДЕНИЯ!$A$9)</f>
        <v>музей</v>
      </c>
      <c r="E756" s="92" t="s">
        <v>483</v>
      </c>
      <c r="F756" s="93">
        <v>212</v>
      </c>
      <c r="G756" s="93">
        <v>112</v>
      </c>
      <c r="H756" s="17" t="s">
        <v>187</v>
      </c>
      <c r="I756" s="93" t="str">
        <f>IF(OR(F756=152,F756=162,F756=510),IF((OR(LEFT(RIGHT(E756,13),1)={"A","D","E","F","G","I","L","N","P","R","S","T","V"})),"Ф",""),"")</f>
        <v/>
      </c>
    </row>
    <row r="757" spans="2:9" x14ac:dyDescent="0.3">
      <c r="D757" s="48" t="str">
        <f>CONCATENATE(УЧРЕЖДЕНИЯ!$A$9)</f>
        <v>музей</v>
      </c>
      <c r="E757" s="92" t="s">
        <v>483</v>
      </c>
      <c r="F757" s="93">
        <v>226</v>
      </c>
      <c r="G757" s="93">
        <v>112</v>
      </c>
      <c r="H757" s="17" t="s">
        <v>187</v>
      </c>
      <c r="I757" s="93" t="str">
        <f>IF(OR(F757=152,F757=162,F757=510),IF((OR(LEFT(RIGHT(E757,13),1)={"A","D","E","F","G","I","L","N","P","R","S","T","V"})),"Ф",""),"")</f>
        <v/>
      </c>
    </row>
    <row r="758" spans="2:9" x14ac:dyDescent="0.3">
      <c r="D758" s="48" t="str">
        <f>CONCATENATE(УЧРЕЖДЕНИЯ!$A$9)</f>
        <v>музей</v>
      </c>
      <c r="E758" s="92" t="s">
        <v>483</v>
      </c>
      <c r="F758" s="93">
        <v>266</v>
      </c>
      <c r="G758" s="93">
        <v>112</v>
      </c>
      <c r="H758" s="17" t="s">
        <v>187</v>
      </c>
      <c r="I758" s="93" t="str">
        <f>IF(OR(F758=152,F758=162,F758=510),IF((OR(LEFT(RIGHT(E758,13),1)={"A","D","E","F","G","I","L","N","P","R","S","T","V"})),"Ф",""),"")</f>
        <v/>
      </c>
    </row>
    <row r="759" spans="2:9" x14ac:dyDescent="0.3">
      <c r="D759" s="48" t="str">
        <f>CONCATENATE(УЧРЕЖДЕНИЯ!$A$9)</f>
        <v>музей</v>
      </c>
      <c r="E759" s="92" t="s">
        <v>484</v>
      </c>
      <c r="F759" s="93">
        <v>213</v>
      </c>
      <c r="G759" s="93">
        <v>119</v>
      </c>
      <c r="H759" s="17" t="s">
        <v>187</v>
      </c>
      <c r="I759" s="93" t="str">
        <f>IF(OR(F759=152,F759=162,F759=510),IF((OR(LEFT(RIGHT(E759,13),1)={"A","D","E","F","G","I","L","N","P","R","S","T","V"})),"Ф",""),"")</f>
        <v/>
      </c>
    </row>
    <row r="760" spans="2:9" x14ac:dyDescent="0.3">
      <c r="D760" s="48" t="str">
        <f>CONCATENATE(УЧРЕЖДЕНИЯ!$A$9)</f>
        <v>музей</v>
      </c>
      <c r="E760" s="92" t="s">
        <v>485</v>
      </c>
      <c r="F760" s="93">
        <v>221</v>
      </c>
      <c r="G760" s="93">
        <v>244</v>
      </c>
      <c r="H760" s="17" t="s">
        <v>187</v>
      </c>
      <c r="I760" s="93" t="str">
        <f>IF(OR(F760=152,F760=162,F760=510),IF((OR(LEFT(RIGHT(E760,13),1)={"A","D","E","F","G","I","L","N","P","R","S","T","V"})),"Ф",""),"")</f>
        <v/>
      </c>
    </row>
    <row r="761" spans="2:9" x14ac:dyDescent="0.3">
      <c r="D761" s="48" t="str">
        <f>CONCATENATE(УЧРЕЖДЕНИЯ!$A$9)</f>
        <v>музей</v>
      </c>
      <c r="E761" s="92" t="s">
        <v>485</v>
      </c>
      <c r="F761" s="93">
        <v>222</v>
      </c>
      <c r="G761" s="93">
        <v>244</v>
      </c>
      <c r="H761" s="17" t="s">
        <v>187</v>
      </c>
      <c r="I761" s="93" t="str">
        <f>IF(OR(F761=152,F761=162,F761=510),IF((OR(LEFT(RIGHT(E761,13),1)={"A","D","E","F","G","I","L","N","P","R","S","T","V"})),"Ф",""),"")</f>
        <v/>
      </c>
    </row>
    <row r="762" spans="2:9" x14ac:dyDescent="0.3">
      <c r="D762" s="48" t="str">
        <f>CONCATENATE(УЧРЕЖДЕНИЯ!$A$9)</f>
        <v>музей</v>
      </c>
      <c r="E762" s="92" t="s">
        <v>486</v>
      </c>
      <c r="F762" s="93">
        <v>2233</v>
      </c>
      <c r="G762" s="93">
        <v>244</v>
      </c>
      <c r="H762" s="17" t="s">
        <v>187</v>
      </c>
      <c r="I762" s="93" t="str">
        <f>IF(OR(F762=152,F762=162,F762=510),IF((OR(LEFT(RIGHT(E762,13),1)={"A","D","E","F","G","I","L","N","P","R","S","T","V"})),"Ф",""),"")</f>
        <v/>
      </c>
    </row>
    <row r="763" spans="2:9" x14ac:dyDescent="0.3">
      <c r="D763" s="48" t="str">
        <f>CONCATENATE(УЧРЕЖДЕНИЯ!$A$9)</f>
        <v>музей</v>
      </c>
      <c r="E763" s="92" t="s">
        <v>640</v>
      </c>
      <c r="F763" s="93">
        <v>2234</v>
      </c>
      <c r="G763" s="93">
        <v>244</v>
      </c>
      <c r="H763" s="17" t="s">
        <v>187</v>
      </c>
      <c r="I763" s="93" t="str">
        <f>IF(OR(F763=152,F763=162,F763=510),IF((OR(LEFT(RIGHT(E763,13),1)={"A","D","E","F","G","I","L","N","P","R","S","T","V"})),"Ф",""),"")</f>
        <v/>
      </c>
    </row>
    <row r="764" spans="2:9" x14ac:dyDescent="0.3">
      <c r="D764" s="48" t="str">
        <f>CONCATENATE(УЧРЕЖДЕНИЯ!$A$9)</f>
        <v>музей</v>
      </c>
      <c r="E764" s="92" t="s">
        <v>485</v>
      </c>
      <c r="F764" s="93">
        <v>225</v>
      </c>
      <c r="G764" s="93">
        <v>244</v>
      </c>
      <c r="H764" s="17" t="s">
        <v>187</v>
      </c>
      <c r="I764" s="93" t="str">
        <f>IF(OR(F764=152,F764=162,F764=510),IF((OR(LEFT(RIGHT(E764,13),1)={"A","D","E","F","G","I","L","N","P","R","S","T","V"})),"Ф",""),"")</f>
        <v/>
      </c>
    </row>
    <row r="765" spans="2:9" x14ac:dyDescent="0.3">
      <c r="D765" s="48" t="str">
        <f>CONCATENATE(УЧРЕЖДЕНИЯ!$A$9)</f>
        <v>музей</v>
      </c>
      <c r="E765" s="92" t="s">
        <v>485</v>
      </c>
      <c r="F765" s="93">
        <v>226</v>
      </c>
      <c r="G765" s="93">
        <v>244</v>
      </c>
      <c r="H765" s="17" t="s">
        <v>187</v>
      </c>
      <c r="I765" s="93" t="str">
        <f>IF(OR(F765=152,F765=162,F765=510),IF((OR(LEFT(RIGHT(E765,13),1)={"A","D","E","F","G","I","L","N","P","R","S","T","V"})),"Ф",""),"")</f>
        <v/>
      </c>
    </row>
    <row r="766" spans="2:9" x14ac:dyDescent="0.3">
      <c r="D766" s="48" t="str">
        <f>CONCATENATE(УЧРЕЖДЕНИЯ!$A$9)</f>
        <v>музей</v>
      </c>
      <c r="E766" s="92" t="s">
        <v>485</v>
      </c>
      <c r="F766" s="93">
        <v>310</v>
      </c>
      <c r="G766" s="93">
        <v>244</v>
      </c>
      <c r="H766" s="17" t="s">
        <v>187</v>
      </c>
      <c r="I766" s="93" t="str">
        <f>IF(OR(F766=152,F766=162,F766=510),IF((OR(LEFT(RIGHT(E766,13),1)={"A","D","E","F","G","I","L","N","P","R","S","T","V"})),"Ф",""),"")</f>
        <v/>
      </c>
    </row>
    <row r="767" spans="2:9" x14ac:dyDescent="0.3">
      <c r="D767" s="48" t="str">
        <f>CONCATENATE(УЧРЕЖДЕНИЯ!$A$9)</f>
        <v>музей</v>
      </c>
      <c r="E767" s="92" t="s">
        <v>485</v>
      </c>
      <c r="F767" s="93">
        <v>344</v>
      </c>
      <c r="G767" s="93">
        <v>244</v>
      </c>
      <c r="H767" s="17" t="s">
        <v>187</v>
      </c>
      <c r="I767" s="93" t="str">
        <f>IF(OR(F767=152,F767=162,F767=510),IF((OR(LEFT(RIGHT(E767,13),1)={"A","D","E","F","G","I","L","N","P","R","S","T","V"})),"Ф",""),"")</f>
        <v/>
      </c>
    </row>
    <row r="768" spans="2:9" x14ac:dyDescent="0.3">
      <c r="D768" s="48" t="str">
        <f>CONCATENATE(УЧРЕЖДЕНИЯ!$A$9)</f>
        <v>музей</v>
      </c>
      <c r="E768" s="92" t="s">
        <v>485</v>
      </c>
      <c r="F768" s="93">
        <v>346</v>
      </c>
      <c r="G768" s="93">
        <v>244</v>
      </c>
      <c r="H768" s="17" t="s">
        <v>187</v>
      </c>
      <c r="I768" s="93" t="str">
        <f>IF(OR(F768=152,F768=162,F768=510),IF((OR(LEFT(RIGHT(E768,13),1)={"A","D","E","F","G","I","L","N","P","R","S","T","V"})),"Ф",""),"")</f>
        <v/>
      </c>
    </row>
    <row r="769" spans="2:9" x14ac:dyDescent="0.3">
      <c r="D769" s="48" t="str">
        <f>CONCATENATE(УЧРЕЖДЕНИЯ!$A$9)</f>
        <v>музей</v>
      </c>
      <c r="E769" s="92" t="s">
        <v>485</v>
      </c>
      <c r="F769" s="93">
        <v>349</v>
      </c>
      <c r="G769" s="93">
        <v>244</v>
      </c>
      <c r="H769" s="17" t="s">
        <v>187</v>
      </c>
      <c r="I769" s="93" t="str">
        <f>IF(OR(F769=152,F769=162,F769=510),IF((OR(LEFT(RIGHT(E769,13),1)={"A","D","E","F","G","I","L","N","P","R","S","T","V"})),"Ф",""),"")</f>
        <v/>
      </c>
    </row>
    <row r="770" spans="2:9" x14ac:dyDescent="0.3">
      <c r="D770" s="48" t="str">
        <f>CONCATENATE(УЧРЕЖДЕНИЯ!$A$9)</f>
        <v>музей</v>
      </c>
      <c r="E770" s="92" t="s">
        <v>660</v>
      </c>
      <c r="F770" s="93">
        <v>2231</v>
      </c>
      <c r="G770" s="93">
        <v>247</v>
      </c>
      <c r="H770" s="17" t="s">
        <v>187</v>
      </c>
      <c r="I770" s="93" t="str">
        <f>IF(OR(F770=152,F770=162,F770=510),IF((OR(LEFT(RIGHT(E770,13),1)={"A","D","E","F","G","I","L","N","P","R","S","T","V"})),"Ф",""),"")</f>
        <v/>
      </c>
    </row>
    <row r="771" spans="2:9" x14ac:dyDescent="0.3">
      <c r="D771" s="48" t="str">
        <f>CONCATENATE(УЧРЕЖДЕНИЯ!$A$9)</f>
        <v>музей</v>
      </c>
      <c r="E771" s="92" t="s">
        <v>671</v>
      </c>
      <c r="F771" s="93">
        <v>2232</v>
      </c>
      <c r="G771" s="93">
        <v>247</v>
      </c>
      <c r="H771" s="17" t="s">
        <v>187</v>
      </c>
      <c r="I771" s="93" t="str">
        <f>IF(OR(F771=152,F771=162,F771=510),IF((OR(LEFT(RIGHT(E771,13),1)={"A","D","E","F","G","I","L","N","P","R","S","T","V"})),"Ф",""),"")</f>
        <v/>
      </c>
    </row>
    <row r="772" spans="2:9" x14ac:dyDescent="0.3">
      <c r="D772" s="48" t="str">
        <f>CONCATENATE(УЧРЕЖДЕНИЯ!$A$9)</f>
        <v>музей</v>
      </c>
      <c r="E772" s="92" t="s">
        <v>480</v>
      </c>
      <c r="F772" s="93">
        <v>510</v>
      </c>
      <c r="G772" s="93">
        <v>510</v>
      </c>
      <c r="H772" s="17" t="s">
        <v>187</v>
      </c>
      <c r="I772" s="93" t="str">
        <f>IF(OR(F772=152,F772=162,F772=510),IF((OR(LEFT(RIGHT(E772,13),1)={"A","D","E","F","G","I","L","N","P","R","S","T","V"})),"Ф",""),"")</f>
        <v/>
      </c>
    </row>
    <row r="773" spans="2:9" x14ac:dyDescent="0.3">
      <c r="D773" s="48" t="str">
        <f>CONCATENATE(УЧРЕЖДЕНИЯ!$A$9)</f>
        <v>музей</v>
      </c>
      <c r="E773" s="92" t="s">
        <v>807</v>
      </c>
      <c r="F773" s="93">
        <v>610</v>
      </c>
      <c r="G773" s="93">
        <v>610</v>
      </c>
      <c r="H773" s="17" t="s">
        <v>187</v>
      </c>
      <c r="I773" s="93" t="str">
        <f>IF(OR(F773=152,F773=162,F773=510),IF((OR(LEFT(RIGHT(E773,13),1)={"A","D","E","F","G","I","L","N","P","R","S","T","V"})),"Ф",""),"")</f>
        <v/>
      </c>
    </row>
    <row r="774" spans="2:9" x14ac:dyDescent="0.3">
      <c r="D774" s="48" t="str">
        <f>CONCATENATE(УЧРЕЖДЕНИЯ!$A$9)</f>
        <v>музей</v>
      </c>
      <c r="E774" s="92" t="s">
        <v>487</v>
      </c>
      <c r="F774" s="93">
        <v>291</v>
      </c>
      <c r="G774" s="93">
        <v>851</v>
      </c>
      <c r="H774" s="17" t="s">
        <v>187</v>
      </c>
      <c r="I774" s="93" t="str">
        <f>IF(OR(F774=152,F774=162,F774=510),IF((OR(LEFT(RIGHT(E774,13),1)={"A","D","E","F","G","I","L","N","P","R","S","T","V"})),"Ф",""),"")</f>
        <v/>
      </c>
    </row>
    <row r="775" spans="2:9" x14ac:dyDescent="0.3">
      <c r="D775" s="48" t="str">
        <f>CONCATENATE(УЧРЕЖДЕНИЯ!$A$9)</f>
        <v>музей</v>
      </c>
      <c r="E775" s="92" t="s">
        <v>488</v>
      </c>
      <c r="F775" s="93">
        <v>291</v>
      </c>
      <c r="G775" s="93">
        <v>853</v>
      </c>
      <c r="H775" s="17" t="s">
        <v>187</v>
      </c>
      <c r="I775" s="93" t="str">
        <f>IF(OR(F775=152,F775=162,F775=510),IF((OR(LEFT(RIGHT(E775,13),1)={"A","D","E","F","G","I","L","N","P","R","S","T","V"})),"Ф",""),"")</f>
        <v/>
      </c>
    </row>
    <row r="776" spans="2:9" x14ac:dyDescent="0.3">
      <c r="D776" s="48" t="str">
        <f>CONCATENATE(УЧРЕЖДЕНИЯ!$A$9)</f>
        <v>музей</v>
      </c>
      <c r="E776" s="92" t="s">
        <v>488</v>
      </c>
      <c r="F776" s="93">
        <v>292</v>
      </c>
      <c r="G776" s="93">
        <v>853</v>
      </c>
      <c r="H776" s="17" t="s">
        <v>187</v>
      </c>
      <c r="I776" s="93" t="str">
        <f>IF(OR(F776=152,F776=162,F776=510),IF((OR(LEFT(RIGHT(E776,13),1)={"A","D","E","F","G","I","L","N","P","R","S","T","V"})),"Ф",""),"")</f>
        <v/>
      </c>
    </row>
    <row r="777" spans="2:9" x14ac:dyDescent="0.3">
      <c r="D777" s="48" t="str">
        <f>CONCATENATE(УЧРЕЖДЕНИЯ!$A$9)</f>
        <v>музей</v>
      </c>
      <c r="E777" s="92" t="s">
        <v>488</v>
      </c>
      <c r="F777" s="93">
        <v>293</v>
      </c>
      <c r="G777" s="93">
        <v>853</v>
      </c>
      <c r="H777" s="17" t="s">
        <v>187</v>
      </c>
      <c r="I777" s="93" t="str">
        <f>IF(OR(F777=152,F777=162,F777=510),IF((OR(LEFT(RIGHT(E777,13),1)={"A","D","E","F","G","I","L","N","P","R","S","T","V"})),"Ф",""),"")</f>
        <v/>
      </c>
    </row>
    <row r="778" spans="2:9" x14ac:dyDescent="0.3">
      <c r="D778" s="48" t="str">
        <f>CONCATENATE(УЧРЕЖДЕНИЯ!$A$9)</f>
        <v>музей</v>
      </c>
      <c r="E778" s="92" t="s">
        <v>490</v>
      </c>
      <c r="F778" s="93">
        <v>131</v>
      </c>
      <c r="G778" s="93">
        <v>130</v>
      </c>
      <c r="H778" s="17" t="s">
        <v>187</v>
      </c>
      <c r="I778" s="93" t="str">
        <f>IF(OR(F778=152,F778=162,F778=510),IF((OR(LEFT(RIGHT(E778,13),1)={"A","D","E","F","G","I","L","N","P","R","S","T","V"})),"Ф",""),"")</f>
        <v/>
      </c>
    </row>
    <row r="779" spans="2:9" x14ac:dyDescent="0.3">
      <c r="D779" s="48" t="str">
        <f>CONCATENATE(УЧРЕЖДЕНИЯ!$A$9)</f>
        <v>музей</v>
      </c>
      <c r="E779" s="92" t="s">
        <v>491</v>
      </c>
      <c r="F779" s="93">
        <v>211</v>
      </c>
      <c r="G779" s="93">
        <v>111</v>
      </c>
      <c r="H779" s="17" t="s">
        <v>187</v>
      </c>
      <c r="I779" s="93" t="str">
        <f>IF(OR(F779=152,F779=162,F779=510),IF((OR(LEFT(RIGHT(E779,13),1)={"A","D","E","F","G","I","L","N","P","R","S","T","V"})),"Ф",""),"")</f>
        <v/>
      </c>
    </row>
    <row r="780" spans="2:9" x14ac:dyDescent="0.3">
      <c r="D780" s="48" t="str">
        <f>CONCATENATE(УЧРЕЖДЕНИЯ!$A$9)</f>
        <v>музей</v>
      </c>
      <c r="E780" s="92" t="s">
        <v>492</v>
      </c>
      <c r="F780" s="93">
        <v>213</v>
      </c>
      <c r="G780" s="93">
        <v>119</v>
      </c>
      <c r="H780" s="17" t="s">
        <v>187</v>
      </c>
      <c r="I780" s="93" t="str">
        <f>IF(OR(F780=152,F780=162,F780=510),IF((OR(LEFT(RIGHT(E780,13),1)={"A","D","E","F","G","I","L","N","P","R","S","T","V"})),"Ф",""),"")</f>
        <v/>
      </c>
    </row>
    <row r="781" spans="2:9" x14ac:dyDescent="0.3">
      <c r="D781" s="48" t="str">
        <f>CONCATENATE(УЧРЕЖДЕНИЯ!$A$9)</f>
        <v>музей</v>
      </c>
      <c r="E781" s="92" t="s">
        <v>489</v>
      </c>
      <c r="F781" s="93">
        <v>510</v>
      </c>
      <c r="G781" s="93">
        <v>510</v>
      </c>
      <c r="H781" s="17" t="s">
        <v>187</v>
      </c>
      <c r="I781" s="93" t="str">
        <f>IF(OR(F781=152,F781=162,F781=510),IF((OR(LEFT(RIGHT(E781,13),1)={"A","D","E","F","G","I","L","N","P","R","S","T","V"})),"Ф",""),"")</f>
        <v/>
      </c>
    </row>
    <row r="782" spans="2:9" x14ac:dyDescent="0.3">
      <c r="B782" s="48" t="s">
        <v>707</v>
      </c>
      <c r="C782" s="48" t="s">
        <v>194</v>
      </c>
      <c r="D782" s="48" t="str">
        <f>CONCATENATE(УЧРЕЖДЕНИЯ!$A$11)</f>
        <v>культура</v>
      </c>
      <c r="E782" s="92" t="s">
        <v>494</v>
      </c>
      <c r="F782" s="93">
        <v>131</v>
      </c>
      <c r="G782" s="93">
        <v>130</v>
      </c>
      <c r="H782" s="17" t="s">
        <v>187</v>
      </c>
      <c r="I782" s="93" t="str">
        <f>IF(OR(F782=152,F782=162,F782=510),IF((OR(LEFT(RIGHT(E782,13),1)={"A","D","E","F","G","I","L","N","P","R","S","T","V"})),"Ф",""),"")</f>
        <v/>
      </c>
    </row>
    <row r="783" spans="2:9" x14ac:dyDescent="0.3">
      <c r="D783" s="48" t="str">
        <f>CONCATENATE(УЧРЕЖДЕНИЯ!$A$11)</f>
        <v>культура</v>
      </c>
      <c r="E783" s="92" t="s">
        <v>495</v>
      </c>
      <c r="F783" s="93">
        <v>211</v>
      </c>
      <c r="G783" s="93">
        <v>111</v>
      </c>
      <c r="H783" s="17" t="s">
        <v>187</v>
      </c>
      <c r="I783" s="93" t="str">
        <f>IF(OR(F783=152,F783=162,F783=510),IF((OR(LEFT(RIGHT(E783,13),1)={"A","D","E","F","G","I","L","N","P","R","S","T","V"})),"Ф",""),"")</f>
        <v/>
      </c>
    </row>
    <row r="784" spans="2:9" x14ac:dyDescent="0.3">
      <c r="D784" s="48" t="str">
        <f>CONCATENATE(УЧРЕЖДЕНИЯ!$A$11)</f>
        <v>культура</v>
      </c>
      <c r="E784" s="92" t="s">
        <v>495</v>
      </c>
      <c r="F784" s="93">
        <v>266</v>
      </c>
      <c r="G784" s="93">
        <v>111</v>
      </c>
      <c r="H784" s="17" t="s">
        <v>187</v>
      </c>
      <c r="I784" s="93" t="str">
        <f>IF(OR(F784=152,F784=162,F784=510),IF((OR(LEFT(RIGHT(E784,13),1)={"A","D","E","F","G","I","L","N","P","R","S","T","V"})),"Ф",""),"")</f>
        <v/>
      </c>
    </row>
    <row r="785" spans="4:9" x14ac:dyDescent="0.3">
      <c r="D785" s="48" t="str">
        <f>CONCATENATE(УЧРЕЖДЕНИЯ!$A$11)</f>
        <v>культура</v>
      </c>
      <c r="E785" s="92" t="s">
        <v>496</v>
      </c>
      <c r="F785" s="93">
        <v>212</v>
      </c>
      <c r="G785" s="93">
        <v>112</v>
      </c>
      <c r="H785" s="17" t="s">
        <v>187</v>
      </c>
      <c r="I785" s="93" t="str">
        <f>IF(OR(F785=152,F785=162,F785=510),IF((OR(LEFT(RIGHT(E785,13),1)={"A","D","E","F","G","I","L","N","P","R","S","T","V"})),"Ф",""),"")</f>
        <v/>
      </c>
    </row>
    <row r="786" spans="4:9" x14ac:dyDescent="0.3">
      <c r="D786" s="48" t="str">
        <f>CONCATENATE(УЧРЕЖДЕНИЯ!$A$11)</f>
        <v>культура</v>
      </c>
      <c r="E786" s="92" t="s">
        <v>496</v>
      </c>
      <c r="F786" s="93">
        <v>226</v>
      </c>
      <c r="G786" s="93">
        <v>112</v>
      </c>
      <c r="H786" s="17" t="s">
        <v>187</v>
      </c>
      <c r="I786" s="93" t="str">
        <f>IF(OR(F786=152,F786=162,F786=510),IF((OR(LEFT(RIGHT(E786,13),1)={"A","D","E","F","G","I","L","N","P","R","S","T","V"})),"Ф",""),"")</f>
        <v/>
      </c>
    </row>
    <row r="787" spans="4:9" x14ac:dyDescent="0.3">
      <c r="D787" s="48" t="str">
        <f>CONCATENATE(УЧРЕЖДЕНИЯ!$A$11)</f>
        <v>культура</v>
      </c>
      <c r="E787" s="92" t="s">
        <v>496</v>
      </c>
      <c r="F787" s="93">
        <v>266</v>
      </c>
      <c r="G787" s="93">
        <v>112</v>
      </c>
      <c r="H787" s="17" t="s">
        <v>187</v>
      </c>
      <c r="I787" s="93" t="str">
        <f>IF(OR(F787=152,F787=162,F787=510),IF((OR(LEFT(RIGHT(E787,13),1)={"A","D","E","F","G","I","L","N","P","R","S","T","V"})),"Ф",""),"")</f>
        <v/>
      </c>
    </row>
    <row r="788" spans="4:9" x14ac:dyDescent="0.3">
      <c r="D788" s="48" t="str">
        <f>CONCATENATE(УЧРЕЖДЕНИЯ!$A$11)</f>
        <v>культура</v>
      </c>
      <c r="E788" s="92" t="s">
        <v>497</v>
      </c>
      <c r="F788" s="93">
        <v>213</v>
      </c>
      <c r="G788" s="93">
        <v>119</v>
      </c>
      <c r="H788" s="17" t="s">
        <v>187</v>
      </c>
      <c r="I788" s="93" t="str">
        <f>IF(OR(F788=152,F788=162,F788=510),IF((OR(LEFT(RIGHT(E788,13),1)={"A","D","E","F","G","I","L","N","P","R","S","T","V"})),"Ф",""),"")</f>
        <v/>
      </c>
    </row>
    <row r="789" spans="4:9" x14ac:dyDescent="0.3">
      <c r="D789" s="48" t="str">
        <f>CONCATENATE(УЧРЕЖДЕНИЯ!$A$11)</f>
        <v>культура</v>
      </c>
      <c r="E789" s="92" t="s">
        <v>497</v>
      </c>
      <c r="F789" s="93">
        <v>267</v>
      </c>
      <c r="G789" s="93">
        <v>119</v>
      </c>
      <c r="H789" s="17" t="s">
        <v>187</v>
      </c>
      <c r="I789" s="93" t="str">
        <f>IF(OR(F789=152,F789=162,F789=510),IF((OR(LEFT(RIGHT(E789,13),1)={"A","D","E","F","G","I","L","N","P","R","S","T","V"})),"Ф",""),"")</f>
        <v/>
      </c>
    </row>
    <row r="790" spans="4:9" x14ac:dyDescent="0.3">
      <c r="D790" s="48" t="str">
        <f>CONCATENATE(УЧРЕЖДЕНИЯ!$A$11)</f>
        <v>культура</v>
      </c>
      <c r="E790" s="92" t="s">
        <v>498</v>
      </c>
      <c r="F790" s="93">
        <v>221</v>
      </c>
      <c r="G790" s="93">
        <v>244</v>
      </c>
      <c r="H790" s="17" t="s">
        <v>187</v>
      </c>
      <c r="I790" s="93" t="str">
        <f>IF(OR(F790=152,F790=162,F790=510),IF((OR(LEFT(RIGHT(E790,13),1)={"A","D","E","F","G","I","L","N","P","R","S","T","V"})),"Ф",""),"")</f>
        <v/>
      </c>
    </row>
    <row r="791" spans="4:9" x14ac:dyDescent="0.3">
      <c r="D791" s="48" t="str">
        <f>CONCATENATE(УЧРЕЖДЕНИЯ!$A$11)</f>
        <v>культура</v>
      </c>
      <c r="E791" s="92" t="s">
        <v>498</v>
      </c>
      <c r="F791" s="93">
        <v>222</v>
      </c>
      <c r="G791" s="93">
        <v>244</v>
      </c>
      <c r="H791" s="17" t="s">
        <v>187</v>
      </c>
      <c r="I791" s="93" t="str">
        <f>IF(OR(F791=152,F791=162,F791=510),IF((OR(LEFT(RIGHT(E791,13),1)={"A","D","E","F","G","I","L","N","P","R","S","T","V"})),"Ф",""),"")</f>
        <v/>
      </c>
    </row>
    <row r="792" spans="4:9" x14ac:dyDescent="0.3">
      <c r="D792" s="48" t="str">
        <f>CONCATENATE(УЧРЕЖДЕНИЯ!$A$11)</f>
        <v>культура</v>
      </c>
      <c r="E792" s="92" t="s">
        <v>778</v>
      </c>
      <c r="F792" s="93">
        <v>2232</v>
      </c>
      <c r="G792" s="93">
        <v>244</v>
      </c>
      <c r="H792" s="17" t="s">
        <v>187</v>
      </c>
      <c r="I792" s="93" t="str">
        <f>IF(OR(F792=152,F792=162,F792=510),IF((OR(LEFT(RIGHT(E792,13),1)={"A","D","E","F","G","I","L","N","P","R","S","T","V"})),"Ф",""),"")</f>
        <v/>
      </c>
    </row>
    <row r="793" spans="4:9" x14ac:dyDescent="0.3">
      <c r="D793" s="48" t="str">
        <f>CONCATENATE(УЧРЕЖДЕНИЯ!$A$11)</f>
        <v>культура</v>
      </c>
      <c r="E793" s="92" t="s">
        <v>499</v>
      </c>
      <c r="F793" s="93">
        <v>2233</v>
      </c>
      <c r="G793" s="93">
        <v>244</v>
      </c>
      <c r="H793" s="17" t="s">
        <v>187</v>
      </c>
      <c r="I793" s="93" t="str">
        <f>IF(OR(F793=152,F793=162,F793=510),IF((OR(LEFT(RIGHT(E793,13),1)={"A","D","E","F","G","I","L","N","P","R","S","T","V"})),"Ф",""),"")</f>
        <v/>
      </c>
    </row>
    <row r="794" spans="4:9" x14ac:dyDescent="0.3">
      <c r="D794" s="48" t="str">
        <f>CONCATENATE(УЧРЕЖДЕНИЯ!$A$11)</f>
        <v>культура</v>
      </c>
      <c r="E794" s="92" t="s">
        <v>641</v>
      </c>
      <c r="F794" s="93">
        <v>2234</v>
      </c>
      <c r="G794" s="93">
        <v>244</v>
      </c>
      <c r="H794" s="17" t="s">
        <v>187</v>
      </c>
      <c r="I794" s="93" t="str">
        <f>IF(OR(F794=152,F794=162,F794=510),IF((OR(LEFT(RIGHT(E794,13),1)={"A","D","E","F","G","I","L","N","P","R","S","T","V"})),"Ф",""),"")</f>
        <v/>
      </c>
    </row>
    <row r="795" spans="4:9" x14ac:dyDescent="0.3">
      <c r="D795" s="48" t="str">
        <f>CONCATENATE(УЧРЕЖДЕНИЯ!$A$11)</f>
        <v>культура</v>
      </c>
      <c r="E795" s="92" t="s">
        <v>498</v>
      </c>
      <c r="F795" s="93">
        <v>225</v>
      </c>
      <c r="G795" s="93">
        <v>244</v>
      </c>
      <c r="H795" s="17" t="s">
        <v>187</v>
      </c>
      <c r="I795" s="93" t="str">
        <f>IF(OR(F795=152,F795=162,F795=510),IF((OR(LEFT(RIGHT(E795,13),1)={"A","D","E","F","G","I","L","N","P","R","S","T","V"})),"Ф",""),"")</f>
        <v/>
      </c>
    </row>
    <row r="796" spans="4:9" x14ac:dyDescent="0.3">
      <c r="D796" s="48" t="str">
        <f>CONCATENATE(УЧРЕЖДЕНИЯ!$A$11)</f>
        <v>культура</v>
      </c>
      <c r="E796" s="92" t="s">
        <v>498</v>
      </c>
      <c r="F796" s="93">
        <v>226</v>
      </c>
      <c r="G796" s="93">
        <v>244</v>
      </c>
      <c r="H796" s="17" t="s">
        <v>187</v>
      </c>
      <c r="I796" s="93" t="str">
        <f>IF(OR(F796=152,F796=162,F796=510),IF((OR(LEFT(RIGHT(E796,13),1)={"A","D","E","F","G","I","L","N","P","R","S","T","V"})),"Ф",""),"")</f>
        <v/>
      </c>
    </row>
    <row r="797" spans="4:9" x14ac:dyDescent="0.3">
      <c r="D797" s="48" t="str">
        <f>CONCATENATE(УЧРЕЖДЕНИЯ!$A$11)</f>
        <v>культура</v>
      </c>
      <c r="E797" s="92" t="s">
        <v>498</v>
      </c>
      <c r="F797" s="93">
        <v>296</v>
      </c>
      <c r="G797" s="93">
        <v>244</v>
      </c>
      <c r="H797" s="17" t="s">
        <v>187</v>
      </c>
      <c r="I797" s="93" t="str">
        <f>IF(OR(F797=152,F797=162,F797=510),IF((OR(LEFT(RIGHT(E797,13),1)={"A","D","E","F","G","I","L","N","P","R","S","T","V"})),"Ф",""),"")</f>
        <v/>
      </c>
    </row>
    <row r="798" spans="4:9" x14ac:dyDescent="0.3">
      <c r="D798" s="48" t="str">
        <f>CONCATENATE(УЧРЕЖДЕНИЯ!$A$11)</f>
        <v>культура</v>
      </c>
      <c r="E798" s="92" t="s">
        <v>498</v>
      </c>
      <c r="F798" s="93">
        <v>310</v>
      </c>
      <c r="G798" s="93">
        <v>244</v>
      </c>
      <c r="H798" s="17" t="s">
        <v>187</v>
      </c>
      <c r="I798" s="93" t="str">
        <f>IF(OR(F798=152,F798=162,F798=510),IF((OR(LEFT(RIGHT(E798,13),1)={"A","D","E","F","G","I","L","N","P","R","S","T","V"})),"Ф",""),"")</f>
        <v/>
      </c>
    </row>
    <row r="799" spans="4:9" x14ac:dyDescent="0.3">
      <c r="D799" s="48" t="str">
        <f>CONCATENATE(УЧРЕЖДЕНИЯ!$A$11)</f>
        <v>культура</v>
      </c>
      <c r="E799" s="92" t="s">
        <v>498</v>
      </c>
      <c r="F799" s="93">
        <v>341</v>
      </c>
      <c r="G799" s="93">
        <v>244</v>
      </c>
      <c r="H799" s="17" t="s">
        <v>187</v>
      </c>
      <c r="I799" s="93" t="str">
        <f>IF(OR(F799=152,F799=162,F799=510),IF((OR(LEFT(RIGHT(E799,13),1)={"A","D","E","F","G","I","L","N","P","R","S","T","V"})),"Ф",""),"")</f>
        <v/>
      </c>
    </row>
    <row r="800" spans="4:9" x14ac:dyDescent="0.3">
      <c r="D800" s="48" t="str">
        <f>CONCATENATE(УЧРЕЖДЕНИЯ!$A$11)</f>
        <v>культура</v>
      </c>
      <c r="E800" s="92" t="s">
        <v>498</v>
      </c>
      <c r="F800" s="93">
        <v>343</v>
      </c>
      <c r="G800" s="93">
        <v>244</v>
      </c>
      <c r="H800" s="17" t="s">
        <v>187</v>
      </c>
      <c r="I800" s="93" t="str">
        <f>IF(OR(F800=152,F800=162,F800=510),IF((OR(LEFT(RIGHT(E800,13),1)={"A","D","E","F","G","I","L","N","P","R","S","T","V"})),"Ф",""),"")</f>
        <v/>
      </c>
    </row>
    <row r="801" spans="4:9" x14ac:dyDescent="0.3">
      <c r="D801" s="48" t="str">
        <f>CONCATENATE(УЧРЕЖДЕНИЯ!$A$11)</f>
        <v>культура</v>
      </c>
      <c r="E801" s="92" t="s">
        <v>498</v>
      </c>
      <c r="F801" s="93">
        <v>344</v>
      </c>
      <c r="G801" s="93">
        <v>244</v>
      </c>
      <c r="H801" s="17" t="s">
        <v>187</v>
      </c>
      <c r="I801" s="93" t="str">
        <f>IF(OR(F801=152,F801=162,F801=510),IF((OR(LEFT(RIGHT(E801,13),1)={"A","D","E","F","G","I","L","N","P","R","S","T","V"})),"Ф",""),"")</f>
        <v/>
      </c>
    </row>
    <row r="802" spans="4:9" x14ac:dyDescent="0.3">
      <c r="D802" s="48" t="str">
        <f>CONCATENATE(УЧРЕЖДЕНИЯ!$A$11)</f>
        <v>культура</v>
      </c>
      <c r="E802" s="92" t="s">
        <v>498</v>
      </c>
      <c r="F802" s="93">
        <v>345</v>
      </c>
      <c r="G802" s="93">
        <v>244</v>
      </c>
      <c r="H802" s="17" t="s">
        <v>187</v>
      </c>
      <c r="I802" s="93" t="str">
        <f>IF(OR(F802=152,F802=162,F802=510),IF((OR(LEFT(RIGHT(E802,13),1)={"A","D","E","F","G","I","L","N","P","R","S","T","V"})),"Ф",""),"")</f>
        <v/>
      </c>
    </row>
    <row r="803" spans="4:9" x14ac:dyDescent="0.3">
      <c r="D803" s="48" t="str">
        <f>CONCATENATE(УЧРЕЖДЕНИЯ!$A$11)</f>
        <v>культура</v>
      </c>
      <c r="E803" s="92" t="s">
        <v>498</v>
      </c>
      <c r="F803" s="93">
        <v>346</v>
      </c>
      <c r="G803" s="93">
        <v>244</v>
      </c>
      <c r="H803" s="17" t="s">
        <v>187</v>
      </c>
      <c r="I803" s="93" t="str">
        <f>IF(OR(F803=152,F803=162,F803=510),IF((OR(LEFT(RIGHT(E803,13),1)={"A","D","E","F","G","I","L","N","P","R","S","T","V"})),"Ф",""),"")</f>
        <v/>
      </c>
    </row>
    <row r="804" spans="4:9" x14ac:dyDescent="0.3">
      <c r="D804" s="48" t="str">
        <f>CONCATENATE(УЧРЕЖДЕНИЯ!$A$11)</f>
        <v>культура</v>
      </c>
      <c r="E804" s="92" t="s">
        <v>498</v>
      </c>
      <c r="F804" s="93">
        <v>349</v>
      </c>
      <c r="G804" s="93">
        <v>244</v>
      </c>
      <c r="H804" s="17" t="s">
        <v>187</v>
      </c>
      <c r="I804" s="93" t="str">
        <f>IF(OR(F804=152,F804=162,F804=510),IF((OR(LEFT(RIGHT(E804,13),1)={"A","D","E","F","G","I","L","N","P","R","S","T","V"})),"Ф",""),"")</f>
        <v/>
      </c>
    </row>
    <row r="805" spans="4:9" x14ac:dyDescent="0.3">
      <c r="D805" s="48" t="str">
        <f>CONCATENATE(УЧРЕЖДЕНИЯ!$A$11)</f>
        <v>культура</v>
      </c>
      <c r="E805" s="92" t="s">
        <v>661</v>
      </c>
      <c r="F805" s="93">
        <v>2231</v>
      </c>
      <c r="G805" s="93">
        <v>247</v>
      </c>
      <c r="H805" s="17" t="s">
        <v>187</v>
      </c>
      <c r="I805" s="93" t="str">
        <f>IF(OR(F805=152,F805=162,F805=510),IF((OR(LEFT(RIGHT(E805,13),1)={"A","D","E","F","G","I","L","N","P","R","S","T","V"})),"Ф",""),"")</f>
        <v/>
      </c>
    </row>
    <row r="806" spans="4:9" x14ac:dyDescent="0.3">
      <c r="D806" s="48" t="str">
        <f>CONCATENATE(УЧРЕЖДЕНИЯ!$A$11)</f>
        <v>культура</v>
      </c>
      <c r="E806" s="92" t="s">
        <v>672</v>
      </c>
      <c r="F806" s="93">
        <v>2232</v>
      </c>
      <c r="G806" s="93">
        <v>247</v>
      </c>
      <c r="H806" s="17" t="s">
        <v>187</v>
      </c>
      <c r="I806" s="93" t="str">
        <f>IF(OR(F806=152,F806=162,F806=510),IF((OR(LEFT(RIGHT(E806,13),1)={"A","D","E","F","G","I","L","N","P","R","S","T","V"})),"Ф",""),"")</f>
        <v/>
      </c>
    </row>
    <row r="807" spans="4:9" x14ac:dyDescent="0.3">
      <c r="D807" s="48" t="str">
        <f>CONCATENATE(УЧРЕЖДЕНИЯ!$A$11)</f>
        <v>культура</v>
      </c>
      <c r="E807" s="92" t="s">
        <v>493</v>
      </c>
      <c r="F807" s="93">
        <v>510</v>
      </c>
      <c r="G807" s="93">
        <v>510</v>
      </c>
      <c r="H807" s="17" t="s">
        <v>187</v>
      </c>
      <c r="I807" s="93" t="str">
        <f>IF(OR(F807=152,F807=162,F807=510),IF((OR(LEFT(RIGHT(E807,13),1)={"A","D","E","F","G","I","L","N","P","R","S","T","V"})),"Ф",""),"")</f>
        <v/>
      </c>
    </row>
    <row r="808" spans="4:9" x14ac:dyDescent="0.3">
      <c r="D808" s="48" t="str">
        <f>CONCATENATE(УЧРЕЖДЕНИЯ!$A$11)</f>
        <v>культура</v>
      </c>
      <c r="E808" s="92" t="s">
        <v>805</v>
      </c>
      <c r="F808" s="93">
        <v>610</v>
      </c>
      <c r="G808" s="93">
        <v>610</v>
      </c>
      <c r="H808" s="17" t="s">
        <v>187</v>
      </c>
      <c r="I808" s="93" t="str">
        <f>IF(OR(F808=152,F808=162,F808=510),IF((OR(LEFT(RIGHT(E808,13),1)={"A","D","E","F","G","I","L","N","P","R","S","T","V"})),"Ф",""),"")</f>
        <v/>
      </c>
    </row>
    <row r="809" spans="4:9" x14ac:dyDescent="0.3">
      <c r="D809" s="48" t="str">
        <f>CONCATENATE(УЧРЕЖДЕНИЯ!$A$11)</f>
        <v>культура</v>
      </c>
      <c r="E809" s="92" t="s">
        <v>500</v>
      </c>
      <c r="F809" s="93">
        <v>296</v>
      </c>
      <c r="G809" s="93">
        <v>831</v>
      </c>
      <c r="H809" s="17" t="s">
        <v>187</v>
      </c>
      <c r="I809" s="93" t="str">
        <f>IF(OR(F809=152,F809=162,F809=510),IF((OR(LEFT(RIGHT(E809,13),1)={"A","D","E","F","G","I","L","N","P","R","S","T","V"})),"Ф",""),"")</f>
        <v/>
      </c>
    </row>
    <row r="810" spans="4:9" x14ac:dyDescent="0.3">
      <c r="D810" s="48" t="str">
        <f>CONCATENATE(УЧРЕЖДЕНИЯ!$A$11)</f>
        <v>культура</v>
      </c>
      <c r="E810" s="92" t="s">
        <v>501</v>
      </c>
      <c r="F810" s="93">
        <v>291</v>
      </c>
      <c r="G810" s="93">
        <v>851</v>
      </c>
      <c r="H810" s="17" t="s">
        <v>187</v>
      </c>
      <c r="I810" s="93" t="str">
        <f>IF(OR(F810=152,F810=162,F810=510),IF((OR(LEFT(RIGHT(E810,13),1)={"A","D","E","F","G","I","L","N","P","R","S","T","V"})),"Ф",""),"")</f>
        <v/>
      </c>
    </row>
    <row r="811" spans="4:9" x14ac:dyDescent="0.3">
      <c r="D811" s="48" t="str">
        <f>CONCATENATE(УЧРЕЖДЕНИЯ!$A$11)</f>
        <v>культура</v>
      </c>
      <c r="E811" s="92" t="s">
        <v>502</v>
      </c>
      <c r="F811" s="93">
        <v>291</v>
      </c>
      <c r="G811" s="93">
        <v>852</v>
      </c>
      <c r="H811" s="17" t="s">
        <v>187</v>
      </c>
      <c r="I811" s="93" t="str">
        <f>IF(OR(F811=152,F811=162,F811=510),IF((OR(LEFT(RIGHT(E811,13),1)={"A","D","E","F","G","I","L","N","P","R","S","T","V"})),"Ф",""),"")</f>
        <v/>
      </c>
    </row>
    <row r="812" spans="4:9" x14ac:dyDescent="0.3">
      <c r="D812" s="48" t="str">
        <f>CONCATENATE(УЧРЕЖДЕНИЯ!$A$11)</f>
        <v>культура</v>
      </c>
      <c r="E812" s="92" t="s">
        <v>503</v>
      </c>
      <c r="F812" s="93">
        <v>291</v>
      </c>
      <c r="G812" s="93">
        <v>853</v>
      </c>
      <c r="H812" s="17" t="s">
        <v>187</v>
      </c>
      <c r="I812" s="93" t="str">
        <f>IF(OR(F812=152,F812=162,F812=510),IF((OR(LEFT(RIGHT(E812,13),1)={"A","D","E","F","G","I","L","N","P","R","S","T","V"})),"Ф",""),"")</f>
        <v/>
      </c>
    </row>
    <row r="813" spans="4:9" x14ac:dyDescent="0.3">
      <c r="D813" s="48" t="str">
        <f>CONCATENATE(УЧРЕЖДЕНИЯ!$A$11)</f>
        <v>культура</v>
      </c>
      <c r="E813" s="92" t="s">
        <v>503</v>
      </c>
      <c r="F813" s="93">
        <v>292</v>
      </c>
      <c r="G813" s="93">
        <v>853</v>
      </c>
      <c r="H813" s="17" t="s">
        <v>187</v>
      </c>
      <c r="I813" s="93" t="str">
        <f>IF(OR(F813=152,F813=162,F813=510),IF((OR(LEFT(RIGHT(E813,13),1)={"A","D","E","F","G","I","L","N","P","R","S","T","V"})),"Ф",""),"")</f>
        <v/>
      </c>
    </row>
    <row r="814" spans="4:9" x14ac:dyDescent="0.3">
      <c r="D814" s="48" t="str">
        <f>CONCATENATE(УЧРЕЖДЕНИЯ!$A$11)</f>
        <v>культура</v>
      </c>
      <c r="E814" s="92" t="s">
        <v>505</v>
      </c>
      <c r="F814" s="93">
        <v>131</v>
      </c>
      <c r="G814" s="93">
        <v>130</v>
      </c>
      <c r="H814" s="17" t="s">
        <v>187</v>
      </c>
      <c r="I814" s="93" t="str">
        <f>IF(OR(F814=152,F814=162,F814=510),IF((OR(LEFT(RIGHT(E814,13),1)={"A","D","E","F","G","I","L","N","P","R","S","T","V"})),"Ф",""),"")</f>
        <v/>
      </c>
    </row>
    <row r="815" spans="4:9" x14ac:dyDescent="0.3">
      <c r="D815" s="48" t="str">
        <f>CONCATENATE(УЧРЕЖДЕНИЯ!$A$11)</f>
        <v>культура</v>
      </c>
      <c r="E815" s="92" t="s">
        <v>506</v>
      </c>
      <c r="F815" s="93">
        <v>211</v>
      </c>
      <c r="G815" s="93">
        <v>111</v>
      </c>
      <c r="H815" s="17" t="s">
        <v>187</v>
      </c>
      <c r="I815" s="93" t="str">
        <f>IF(OR(F815=152,F815=162,F815=510),IF((OR(LEFT(RIGHT(E815,13),1)={"A","D","E","F","G","I","L","N","P","R","S","T","V"})),"Ф",""),"")</f>
        <v/>
      </c>
    </row>
    <row r="816" spans="4:9" x14ac:dyDescent="0.3">
      <c r="D816" s="48" t="str">
        <f>CONCATENATE(УЧРЕЖДЕНИЯ!$A$11)</f>
        <v>культура</v>
      </c>
      <c r="E816" s="92" t="s">
        <v>507</v>
      </c>
      <c r="F816" s="93">
        <v>213</v>
      </c>
      <c r="G816" s="93">
        <v>119</v>
      </c>
      <c r="H816" s="17" t="s">
        <v>187</v>
      </c>
      <c r="I816" s="93" t="str">
        <f>IF(OR(F816=152,F816=162,F816=510),IF((OR(LEFT(RIGHT(E816,13),1)={"A","D","E","F","G","I","L","N","P","R","S","T","V"})),"Ф",""),"")</f>
        <v/>
      </c>
    </row>
    <row r="817" spans="2:9" x14ac:dyDescent="0.3">
      <c r="D817" s="48" t="str">
        <f>CONCATENATE(УЧРЕЖДЕНИЯ!$A$11)</f>
        <v>культура</v>
      </c>
      <c r="E817" s="92" t="s">
        <v>504</v>
      </c>
      <c r="F817" s="93">
        <v>510</v>
      </c>
      <c r="G817" s="93">
        <v>510</v>
      </c>
      <c r="H817" s="17" t="s">
        <v>187</v>
      </c>
      <c r="I817" s="93" t="str">
        <f>IF(OR(F817=152,F817=162,F817=510),IF((OR(LEFT(RIGHT(E817,13),1)={"A","D","E","F","G","I","L","N","P","R","S","T","V"})),"Ф",""),"")</f>
        <v/>
      </c>
    </row>
    <row r="818" spans="2:9" x14ac:dyDescent="0.3">
      <c r="B818" s="48" t="s">
        <v>707</v>
      </c>
      <c r="C818" s="48" t="s">
        <v>195</v>
      </c>
      <c r="D818" s="48" t="str">
        <f>CONCATENATE(УЧРЕЖДЕНИЯ!$A$12)</f>
        <v>спорт</v>
      </c>
      <c r="E818" s="92" t="s">
        <v>408</v>
      </c>
      <c r="F818" s="93">
        <v>131</v>
      </c>
      <c r="G818" s="93">
        <v>130</v>
      </c>
      <c r="H818" s="17" t="s">
        <v>183</v>
      </c>
      <c r="I818" s="93" t="str">
        <f>IF(OR(F818=152,F818=162,F818=510),IF((OR(LEFT(RIGHT(E818,13),1)={"A","D","E","F","G","I","L","N","P","R","S","T","V"})),"Ф",""),"")</f>
        <v/>
      </c>
    </row>
    <row r="819" spans="2:9" x14ac:dyDescent="0.3">
      <c r="D819" s="48" t="str">
        <f>CONCATENATE(УЧРЕЖДЕНИЯ!$A$12)</f>
        <v>спорт</v>
      </c>
      <c r="E819" s="92" t="s">
        <v>409</v>
      </c>
      <c r="F819" s="93">
        <v>211</v>
      </c>
      <c r="G819" s="93">
        <v>111</v>
      </c>
      <c r="H819" s="17" t="s">
        <v>183</v>
      </c>
      <c r="I819" s="93" t="str">
        <f>IF(OR(F819=152,F819=162,F819=510),IF((OR(LEFT(RIGHT(E819,13),1)={"A","D","E","F","G","I","L","N","P","R","S","T","V"})),"Ф",""),"")</f>
        <v/>
      </c>
    </row>
    <row r="820" spans="2:9" x14ac:dyDescent="0.3">
      <c r="D820" s="48" t="str">
        <f>CONCATENATE(УЧРЕЖДЕНИЯ!$A$12)</f>
        <v>спорт</v>
      </c>
      <c r="E820" s="92" t="s">
        <v>410</v>
      </c>
      <c r="F820" s="93">
        <v>213</v>
      </c>
      <c r="G820" s="93">
        <v>119</v>
      </c>
      <c r="H820" s="17" t="s">
        <v>183</v>
      </c>
      <c r="I820" s="93" t="str">
        <f>IF(OR(F820=152,F820=162,F820=510),IF((OR(LEFT(RIGHT(E820,13),1)={"A","D","E","F","G","I","L","N","P","R","S","T","V"})),"Ф",""),"")</f>
        <v/>
      </c>
    </row>
    <row r="821" spans="2:9" x14ac:dyDescent="0.3">
      <c r="D821" s="48" t="str">
        <f>CONCATENATE(УЧРЕЖДЕНИЯ!$A$12)</f>
        <v>спорт</v>
      </c>
      <c r="E821" s="92" t="s">
        <v>411</v>
      </c>
      <c r="F821" s="93">
        <v>225</v>
      </c>
      <c r="G821" s="93">
        <v>244</v>
      </c>
      <c r="H821" s="17" t="s">
        <v>183</v>
      </c>
      <c r="I821" s="93" t="str">
        <f>IF(OR(F821=152,F821=162,F821=510),IF((OR(LEFT(RIGHT(E821,13),1)={"A","D","E","F","G","I","L","N","P","R","S","T","V"})),"Ф",""),"")</f>
        <v/>
      </c>
    </row>
    <row r="822" spans="2:9" x14ac:dyDescent="0.3">
      <c r="D822" s="48" t="str">
        <f>CONCATENATE(УЧРЕЖДЕНИЯ!$A$12)</f>
        <v>спорт</v>
      </c>
      <c r="E822" s="92" t="s">
        <v>411</v>
      </c>
      <c r="F822" s="93">
        <v>226</v>
      </c>
      <c r="G822" s="93">
        <v>244</v>
      </c>
      <c r="H822" s="17" t="s">
        <v>183</v>
      </c>
      <c r="I822" s="93" t="str">
        <f>IF(OR(F822=152,F822=162,F822=510),IF((OR(LEFT(RIGHT(E822,13),1)={"A","D","E","F","G","I","L","N","P","R","S","T","V"})),"Ф",""),"")</f>
        <v/>
      </c>
    </row>
    <row r="823" spans="2:9" x14ac:dyDescent="0.3">
      <c r="D823" s="48" t="str">
        <f>CONCATENATE(УЧРЕЖДЕНИЯ!$A$12)</f>
        <v>спорт</v>
      </c>
      <c r="E823" s="92" t="s">
        <v>411</v>
      </c>
      <c r="F823" s="93">
        <v>310</v>
      </c>
      <c r="G823" s="93">
        <v>244</v>
      </c>
      <c r="H823" s="17" t="s">
        <v>183</v>
      </c>
      <c r="I823" s="93" t="str">
        <f>IF(OR(F823=152,F823=162,F823=510),IF((OR(LEFT(RIGHT(E823,13),1)={"A","D","E","F","G","I","L","N","P","R","S","T","V"})),"Ф",""),"")</f>
        <v/>
      </c>
    </row>
    <row r="824" spans="2:9" x14ac:dyDescent="0.3">
      <c r="D824" s="48" t="str">
        <f>CONCATENATE(УЧРЕЖДЕНИЯ!$A$12)</f>
        <v>спорт</v>
      </c>
      <c r="E824" s="92" t="s">
        <v>412</v>
      </c>
      <c r="F824" s="93">
        <v>346</v>
      </c>
      <c r="G824" s="93">
        <v>244</v>
      </c>
      <c r="H824" s="17" t="s">
        <v>183</v>
      </c>
      <c r="I824" s="93" t="str">
        <f>IF(OR(F824=152,F824=162,F824=510),IF((OR(LEFT(RIGHT(E824,13),1)={"A","D","E","F","G","I","L","N","P","R","S","T","V"})),"Ф",""),"")</f>
        <v/>
      </c>
    </row>
    <row r="825" spans="2:9" x14ac:dyDescent="0.3">
      <c r="D825" s="48" t="str">
        <f>CONCATENATE(УЧРЕЖДЕНИЯ!$A$12)</f>
        <v>спорт</v>
      </c>
      <c r="E825" s="92" t="s">
        <v>509</v>
      </c>
      <c r="F825" s="93">
        <v>131</v>
      </c>
      <c r="G825" s="93">
        <v>130</v>
      </c>
      <c r="H825" s="17" t="s">
        <v>183</v>
      </c>
      <c r="I825" s="93" t="str">
        <f>IF(OR(F825=152,F825=162,F825=510),IF((OR(LEFT(RIGHT(E825,13),1)={"A","D","E","F","G","I","L","N","P","R","S","T","V"})),"Ф",""),"")</f>
        <v/>
      </c>
    </row>
    <row r="826" spans="2:9" x14ac:dyDescent="0.3">
      <c r="D826" s="48" t="str">
        <f>CONCATENATE(УЧРЕЖДЕНИЯ!$A$12)</f>
        <v>спорт</v>
      </c>
      <c r="E826" s="92" t="s">
        <v>510</v>
      </c>
      <c r="F826" s="93">
        <v>211</v>
      </c>
      <c r="G826" s="93">
        <v>111</v>
      </c>
      <c r="H826" s="17" t="s">
        <v>183</v>
      </c>
      <c r="I826" s="93" t="str">
        <f>IF(OR(F826=152,F826=162,F826=510),IF((OR(LEFT(RIGHT(E826,13),1)={"A","D","E","F","G","I","L","N","P","R","S","T","V"})),"Ф",""),"")</f>
        <v/>
      </c>
    </row>
    <row r="827" spans="2:9" x14ac:dyDescent="0.3">
      <c r="D827" s="48" t="str">
        <f>CONCATENATE(УЧРЕЖДЕНИЯ!$A$12)</f>
        <v>спорт</v>
      </c>
      <c r="E827" s="92" t="s">
        <v>510</v>
      </c>
      <c r="F827" s="93">
        <v>266</v>
      </c>
      <c r="G827" s="93">
        <v>111</v>
      </c>
      <c r="H827" s="17" t="s">
        <v>183</v>
      </c>
      <c r="I827" s="93" t="str">
        <f>IF(OR(F827=152,F827=162,F827=510),IF((OR(LEFT(RIGHT(E827,13),1)={"A","D","E","F","G","I","L","N","P","R","S","T","V"})),"Ф",""),"")</f>
        <v/>
      </c>
    </row>
    <row r="828" spans="2:9" x14ac:dyDescent="0.3">
      <c r="D828" s="48" t="str">
        <f>CONCATENATE(УЧРЕЖДЕНИЯ!$A$12)</f>
        <v>спорт</v>
      </c>
      <c r="E828" s="92" t="s">
        <v>513</v>
      </c>
      <c r="F828" s="93">
        <v>213</v>
      </c>
      <c r="G828" s="93">
        <v>119</v>
      </c>
      <c r="H828" s="17" t="s">
        <v>183</v>
      </c>
      <c r="I828" s="93" t="str">
        <f>IF(OR(F828=152,F828=162,F828=510),IF((OR(LEFT(RIGHT(E828,13),1)={"A","D","E","F","G","I","L","N","P","R","S","T","V"})),"Ф",""),"")</f>
        <v/>
      </c>
    </row>
    <row r="829" spans="2:9" x14ac:dyDescent="0.3">
      <c r="D829" s="48" t="str">
        <f>CONCATENATE(УЧРЕЖДЕНИЯ!$A$12)</f>
        <v>спорт</v>
      </c>
      <c r="E829" s="92" t="s">
        <v>509</v>
      </c>
      <c r="F829" s="93">
        <v>131</v>
      </c>
      <c r="G829" s="93">
        <v>130</v>
      </c>
      <c r="H829" s="17" t="s">
        <v>188</v>
      </c>
      <c r="I829" s="93" t="str">
        <f>IF(OR(F829=152,F829=162,F829=510),IF((OR(LEFT(RIGHT(E829,13),1)={"A","D","E","F","G","I","L","N","P","R","S","T","V"})),"Ф",""),"")</f>
        <v/>
      </c>
    </row>
    <row r="830" spans="2:9" x14ac:dyDescent="0.3">
      <c r="D830" s="48" t="str">
        <f>CONCATENATE(УЧРЕЖДЕНИЯ!$A$12)</f>
        <v>спорт</v>
      </c>
      <c r="E830" s="92" t="s">
        <v>510</v>
      </c>
      <c r="F830" s="93">
        <v>211</v>
      </c>
      <c r="G830" s="93">
        <v>111</v>
      </c>
      <c r="H830" s="17" t="s">
        <v>188</v>
      </c>
      <c r="I830" s="93" t="str">
        <f>IF(OR(F830=152,F830=162,F830=510),IF((OR(LEFT(RIGHT(E830,13),1)={"A","D","E","F","G","I","L","N","P","R","S","T","V"})),"Ф",""),"")</f>
        <v/>
      </c>
    </row>
    <row r="831" spans="2:9" x14ac:dyDescent="0.3">
      <c r="D831" s="48" t="str">
        <f>CONCATENATE(УЧРЕЖДЕНИЯ!$A$12)</f>
        <v>спорт</v>
      </c>
      <c r="E831" s="92" t="s">
        <v>510</v>
      </c>
      <c r="F831" s="93">
        <v>266</v>
      </c>
      <c r="G831" s="93">
        <v>111</v>
      </c>
      <c r="H831" s="17" t="s">
        <v>188</v>
      </c>
      <c r="I831" s="93" t="str">
        <f>IF(OR(F831=152,F831=162,F831=510),IF((OR(LEFT(RIGHT(E831,13),1)={"A","D","E","F","G","I","L","N","P","R","S","T","V"})),"Ф",""),"")</f>
        <v/>
      </c>
    </row>
    <row r="832" spans="2:9" x14ac:dyDescent="0.3">
      <c r="D832" s="48" t="str">
        <f>CONCATENATE(УЧРЕЖДЕНИЯ!$A$12)</f>
        <v>спорт</v>
      </c>
      <c r="E832" s="92" t="s">
        <v>511</v>
      </c>
      <c r="F832" s="93">
        <v>212</v>
      </c>
      <c r="G832" s="93">
        <v>112</v>
      </c>
      <c r="H832" s="17" t="s">
        <v>188</v>
      </c>
      <c r="I832" s="93" t="str">
        <f>IF(OR(F832=152,F832=162,F832=510),IF((OR(LEFT(RIGHT(E832,13),1)={"A","D","E","F","G","I","L","N","P","R","S","T","V"})),"Ф",""),"")</f>
        <v/>
      </c>
    </row>
    <row r="833" spans="4:9" x14ac:dyDescent="0.3">
      <c r="D833" s="48" t="str">
        <f>CONCATENATE(УЧРЕЖДЕНИЯ!$A$12)</f>
        <v>спорт</v>
      </c>
      <c r="E833" s="92" t="s">
        <v>511</v>
      </c>
      <c r="F833" s="93">
        <v>226</v>
      </c>
      <c r="G833" s="93">
        <v>112</v>
      </c>
      <c r="H833" s="17" t="s">
        <v>188</v>
      </c>
      <c r="I833" s="93" t="str">
        <f>IF(OR(F833=152,F833=162,F833=510),IF((OR(LEFT(RIGHT(E833,13),1)={"A","D","E","F","G","I","L","N","P","R","S","T","V"})),"Ф",""),"")</f>
        <v/>
      </c>
    </row>
    <row r="834" spans="4:9" x14ac:dyDescent="0.3">
      <c r="D834" s="48" t="str">
        <f>CONCATENATE(УЧРЕЖДЕНИЯ!$A$12)</f>
        <v>спорт</v>
      </c>
      <c r="E834" s="92" t="s">
        <v>511</v>
      </c>
      <c r="F834" s="93">
        <v>266</v>
      </c>
      <c r="G834" s="93">
        <v>112</v>
      </c>
      <c r="H834" s="17" t="s">
        <v>188</v>
      </c>
      <c r="I834" s="93" t="str">
        <f>IF(OR(F834=152,F834=162,F834=510),IF((OR(LEFT(RIGHT(E834,13),1)={"A","D","E","F","G","I","L","N","P","R","S","T","V"})),"Ф",""),"")</f>
        <v/>
      </c>
    </row>
    <row r="835" spans="4:9" x14ac:dyDescent="0.3">
      <c r="D835" s="48" t="str">
        <f>CONCATENATE(УЧРЕЖДЕНИЯ!$A$12)</f>
        <v>спорт</v>
      </c>
      <c r="E835" s="92" t="s">
        <v>512</v>
      </c>
      <c r="F835" s="93">
        <v>226</v>
      </c>
      <c r="G835" s="93">
        <v>113</v>
      </c>
      <c r="H835" s="17" t="s">
        <v>188</v>
      </c>
      <c r="I835" s="93" t="str">
        <f>IF(OR(F835=152,F835=162,F835=510),IF((OR(LEFT(RIGHT(E835,13),1)={"A","D","E","F","G","I","L","N","P","R","S","T","V"})),"Ф",""),"")</f>
        <v/>
      </c>
    </row>
    <row r="836" spans="4:9" x14ac:dyDescent="0.3">
      <c r="D836" s="48" t="str">
        <f>CONCATENATE(УЧРЕЖДЕНИЯ!$A$12)</f>
        <v>спорт</v>
      </c>
      <c r="E836" s="92" t="s">
        <v>513</v>
      </c>
      <c r="F836" s="93">
        <v>213</v>
      </c>
      <c r="G836" s="93">
        <v>119</v>
      </c>
      <c r="H836" s="17" t="s">
        <v>188</v>
      </c>
      <c r="I836" s="93" t="str">
        <f>IF(OR(F836=152,F836=162,F836=510),IF((OR(LEFT(RIGHT(E836,13),1)={"A","D","E","F","G","I","L","N","P","R","S","T","V"})),"Ф",""),"")</f>
        <v/>
      </c>
    </row>
    <row r="837" spans="4:9" x14ac:dyDescent="0.3">
      <c r="D837" s="48" t="str">
        <f>CONCATENATE(УЧРЕЖДЕНИЯ!$A$12)</f>
        <v>спорт</v>
      </c>
      <c r="E837" s="92" t="s">
        <v>514</v>
      </c>
      <c r="F837" s="93">
        <v>221</v>
      </c>
      <c r="G837" s="93">
        <v>244</v>
      </c>
      <c r="H837" s="17" t="s">
        <v>188</v>
      </c>
      <c r="I837" s="93" t="str">
        <f>IF(OR(F837=152,F837=162,F837=510),IF((OR(LEFT(RIGHT(E837,13),1)={"A","D","E","F","G","I","L","N","P","R","S","T","V"})),"Ф",""),"")</f>
        <v/>
      </c>
    </row>
    <row r="838" spans="4:9" x14ac:dyDescent="0.3">
      <c r="D838" s="48" t="str">
        <f>CONCATENATE(УЧРЕЖДЕНИЯ!$A$12)</f>
        <v>спорт</v>
      </c>
      <c r="E838" s="92" t="s">
        <v>514</v>
      </c>
      <c r="F838" s="93">
        <v>222</v>
      </c>
      <c r="G838" s="93">
        <v>244</v>
      </c>
      <c r="H838" s="17" t="s">
        <v>188</v>
      </c>
      <c r="I838" s="93" t="str">
        <f>IF(OR(F838=152,F838=162,F838=510),IF((OR(LEFT(RIGHT(E838,13),1)={"A","D","E","F","G","I","L","N","P","R","S","T","V"})),"Ф",""),"")</f>
        <v/>
      </c>
    </row>
    <row r="839" spans="4:9" x14ac:dyDescent="0.3">
      <c r="D839" s="48" t="str">
        <f>CONCATENATE(УЧРЕЖДЕНИЯ!$A$12)</f>
        <v>спорт</v>
      </c>
      <c r="E839" s="92" t="s">
        <v>515</v>
      </c>
      <c r="F839" s="93">
        <v>2233</v>
      </c>
      <c r="G839" s="93">
        <v>244</v>
      </c>
      <c r="H839" s="17" t="s">
        <v>188</v>
      </c>
      <c r="I839" s="93" t="str">
        <f>IF(OR(F839=152,F839=162,F839=510),IF((OR(LEFT(RIGHT(E839,13),1)={"A","D","E","F","G","I","L","N","P","R","S","T","V"})),"Ф",""),"")</f>
        <v/>
      </c>
    </row>
    <row r="840" spans="4:9" x14ac:dyDescent="0.3">
      <c r="D840" s="48" t="str">
        <f>CONCATENATE(УЧРЕЖДЕНИЯ!$A$12)</f>
        <v>спорт</v>
      </c>
      <c r="E840" s="92" t="s">
        <v>645</v>
      </c>
      <c r="F840" s="93">
        <v>2234</v>
      </c>
      <c r="G840" s="93">
        <v>244</v>
      </c>
      <c r="H840" s="17" t="s">
        <v>188</v>
      </c>
      <c r="I840" s="93" t="str">
        <f>IF(OR(F840=152,F840=162,F840=510),IF((OR(LEFT(RIGHT(E840,13),1)={"A","D","E","F","G","I","L","N","P","R","S","T","V"})),"Ф",""),"")</f>
        <v/>
      </c>
    </row>
    <row r="841" spans="4:9" x14ac:dyDescent="0.3">
      <c r="D841" s="48" t="str">
        <f>CONCATENATE(УЧРЕЖДЕНИЯ!$A$12)</f>
        <v>спорт</v>
      </c>
      <c r="E841" s="92" t="s">
        <v>514</v>
      </c>
      <c r="F841" s="93">
        <v>225</v>
      </c>
      <c r="G841" s="93">
        <v>244</v>
      </c>
      <c r="H841" s="17" t="s">
        <v>188</v>
      </c>
      <c r="I841" s="93" t="str">
        <f>IF(OR(F841=152,F841=162,F841=510),IF((OR(LEFT(RIGHT(E841,13),1)={"A","D","E","F","G","I","L","N","P","R","S","T","V"})),"Ф",""),"")</f>
        <v/>
      </c>
    </row>
    <row r="842" spans="4:9" x14ac:dyDescent="0.3">
      <c r="D842" s="48" t="str">
        <f>CONCATENATE(УЧРЕЖДЕНИЯ!$A$12)</f>
        <v>спорт</v>
      </c>
      <c r="E842" s="92" t="s">
        <v>514</v>
      </c>
      <c r="F842" s="93">
        <v>226</v>
      </c>
      <c r="G842" s="93">
        <v>244</v>
      </c>
      <c r="H842" s="17" t="s">
        <v>188</v>
      </c>
      <c r="I842" s="93" t="str">
        <f>IF(OR(F842=152,F842=162,F842=510),IF((OR(LEFT(RIGHT(E842,13),1)={"A","D","E","F","G","I","L","N","P","R","S","T","V"})),"Ф",""),"")</f>
        <v/>
      </c>
    </row>
    <row r="843" spans="4:9" x14ac:dyDescent="0.3">
      <c r="D843" s="48" t="str">
        <f>CONCATENATE(УЧРЕЖДЕНИЯ!$A$12)</f>
        <v>спорт</v>
      </c>
      <c r="E843" s="92" t="s">
        <v>514</v>
      </c>
      <c r="F843" s="93">
        <v>227</v>
      </c>
      <c r="G843" s="93">
        <v>244</v>
      </c>
      <c r="H843" s="17" t="s">
        <v>188</v>
      </c>
      <c r="I843" s="93" t="str">
        <f>IF(OR(F843=152,F843=162,F843=510),IF((OR(LEFT(RIGHT(E843,13),1)={"A","D","E","F","G","I","L","N","P","R","S","T","V"})),"Ф",""),"")</f>
        <v/>
      </c>
    </row>
    <row r="844" spans="4:9" x14ac:dyDescent="0.3">
      <c r="D844" s="48" t="str">
        <f>CONCATENATE(УЧРЕЖДЕНИЯ!$A$12)</f>
        <v>спорт</v>
      </c>
      <c r="E844" s="92" t="s">
        <v>514</v>
      </c>
      <c r="F844" s="93">
        <v>228</v>
      </c>
      <c r="G844" s="93">
        <v>244</v>
      </c>
      <c r="H844" s="17" t="s">
        <v>188</v>
      </c>
      <c r="I844" s="93" t="str">
        <f>IF(OR(F844=152,F844=162,F844=510),IF((OR(LEFT(RIGHT(E844,13),1)={"A","D","E","F","G","I","L","N","P","R","S","T","V"})),"Ф",""),"")</f>
        <v/>
      </c>
    </row>
    <row r="845" spans="4:9" x14ac:dyDescent="0.3">
      <c r="D845" s="48" t="str">
        <f>CONCATENATE(УЧРЕЖДЕНИЯ!$A$12)</f>
        <v>спорт</v>
      </c>
      <c r="E845" s="92" t="s">
        <v>514</v>
      </c>
      <c r="F845" s="93">
        <v>310</v>
      </c>
      <c r="G845" s="93">
        <v>244</v>
      </c>
      <c r="H845" s="17" t="s">
        <v>188</v>
      </c>
      <c r="I845" s="93" t="str">
        <f>IF(OR(F845=152,F845=162,F845=510),IF((OR(LEFT(RIGHT(E845,13),1)={"A","D","E","F","G","I","L","N","P","R","S","T","V"})),"Ф",""),"")</f>
        <v/>
      </c>
    </row>
    <row r="846" spans="4:9" x14ac:dyDescent="0.3">
      <c r="D846" s="48" t="str">
        <f>CONCATENATE(УЧРЕЖДЕНИЯ!$A$12)</f>
        <v>спорт</v>
      </c>
      <c r="E846" s="92" t="s">
        <v>514</v>
      </c>
      <c r="F846" s="93">
        <v>341</v>
      </c>
      <c r="G846" s="93">
        <v>244</v>
      </c>
      <c r="H846" s="17" t="s">
        <v>188</v>
      </c>
      <c r="I846" s="93" t="str">
        <f>IF(OR(F846=152,F846=162,F846=510),IF((OR(LEFT(RIGHT(E846,13),1)={"A","D","E","F","G","I","L","N","P","R","S","T","V"})),"Ф",""),"")</f>
        <v/>
      </c>
    </row>
    <row r="847" spans="4:9" x14ac:dyDescent="0.3">
      <c r="D847" s="48" t="str">
        <f>CONCATENATE(УЧРЕЖДЕНИЯ!$A$12)</f>
        <v>спорт</v>
      </c>
      <c r="E847" s="92" t="s">
        <v>514</v>
      </c>
      <c r="F847" s="93">
        <v>343</v>
      </c>
      <c r="G847" s="93">
        <v>244</v>
      </c>
      <c r="H847" s="17" t="s">
        <v>188</v>
      </c>
      <c r="I847" s="93" t="str">
        <f>IF(OR(F847=152,F847=162,F847=510),IF((OR(LEFT(RIGHT(E847,13),1)={"A","D","E","F","G","I","L","N","P","R","S","T","V"})),"Ф",""),"")</f>
        <v/>
      </c>
    </row>
    <row r="848" spans="4:9" x14ac:dyDescent="0.3">
      <c r="D848" s="48" t="str">
        <f>CONCATENATE(УЧРЕЖДЕНИЯ!$A$12)</f>
        <v>спорт</v>
      </c>
      <c r="E848" s="92" t="s">
        <v>514</v>
      </c>
      <c r="F848" s="93">
        <v>344</v>
      </c>
      <c r="G848" s="93">
        <v>244</v>
      </c>
      <c r="H848" s="17" t="s">
        <v>188</v>
      </c>
      <c r="I848" s="93" t="str">
        <f>IF(OR(F848=152,F848=162,F848=510),IF((OR(LEFT(RIGHT(E848,13),1)={"A","D","E","F","G","I","L","N","P","R","S","T","V"})),"Ф",""),"")</f>
        <v/>
      </c>
    </row>
    <row r="849" spans="4:9" x14ac:dyDescent="0.3">
      <c r="D849" s="48" t="str">
        <f>CONCATENATE(УЧРЕЖДЕНИЯ!$A$12)</f>
        <v>спорт</v>
      </c>
      <c r="E849" s="92" t="s">
        <v>514</v>
      </c>
      <c r="F849" s="93">
        <v>345</v>
      </c>
      <c r="G849" s="93">
        <v>244</v>
      </c>
      <c r="H849" s="17" t="s">
        <v>188</v>
      </c>
      <c r="I849" s="93" t="str">
        <f>IF(OR(F849=152,F849=162,F849=510),IF((OR(LEFT(RIGHT(E849,13),1)={"A","D","E","F","G","I","L","N","P","R","S","T","V"})),"Ф",""),"")</f>
        <v/>
      </c>
    </row>
    <row r="850" spans="4:9" x14ac:dyDescent="0.3">
      <c r="D850" s="48" t="str">
        <f>CONCATENATE(УЧРЕЖДЕНИЯ!$A$12)</f>
        <v>спорт</v>
      </c>
      <c r="E850" s="92" t="s">
        <v>514</v>
      </c>
      <c r="F850" s="93">
        <v>346</v>
      </c>
      <c r="G850" s="93">
        <v>244</v>
      </c>
      <c r="H850" s="17" t="s">
        <v>188</v>
      </c>
      <c r="I850" s="93" t="str">
        <f>IF(OR(F850=152,F850=162,F850=510),IF((OR(LEFT(RIGHT(E850,13),1)={"A","D","E","F","G","I","L","N","P","R","S","T","V"})),"Ф",""),"")</f>
        <v/>
      </c>
    </row>
    <row r="851" spans="4:9" x14ac:dyDescent="0.3">
      <c r="D851" s="48" t="str">
        <f>CONCATENATE(УЧРЕЖДЕНИЯ!$A$12)</f>
        <v>спорт</v>
      </c>
      <c r="E851" s="92" t="s">
        <v>514</v>
      </c>
      <c r="F851" s="93">
        <v>349</v>
      </c>
      <c r="G851" s="93">
        <v>244</v>
      </c>
      <c r="H851" s="17" t="s">
        <v>188</v>
      </c>
      <c r="I851" s="93" t="str">
        <f>IF(OR(F851=152,F851=162,F851=510),IF((OR(LEFT(RIGHT(E851,13),1)={"A","D","E","F","G","I","L","N","P","R","S","T","V"})),"Ф",""),"")</f>
        <v/>
      </c>
    </row>
    <row r="852" spans="4:9" x14ac:dyDescent="0.3">
      <c r="D852" s="48" t="str">
        <f>CONCATENATE(УЧРЕЖДЕНИЯ!$A$12)</f>
        <v>спорт</v>
      </c>
      <c r="E852" s="92" t="s">
        <v>662</v>
      </c>
      <c r="F852" s="93">
        <v>2231</v>
      </c>
      <c r="G852" s="93">
        <v>247</v>
      </c>
      <c r="H852" s="17" t="s">
        <v>188</v>
      </c>
      <c r="I852" s="93" t="str">
        <f>IF(OR(F852=152,F852=162,F852=510),IF((OR(LEFT(RIGHT(E852,13),1)={"A","D","E","F","G","I","L","N","P","R","S","T","V"})),"Ф",""),"")</f>
        <v/>
      </c>
    </row>
    <row r="853" spans="4:9" x14ac:dyDescent="0.3">
      <c r="D853" s="48" t="str">
        <f>CONCATENATE(УЧРЕЖДЕНИЯ!$A$12)</f>
        <v>спорт</v>
      </c>
      <c r="E853" s="92" t="s">
        <v>673</v>
      </c>
      <c r="F853" s="93">
        <v>2232</v>
      </c>
      <c r="G853" s="93">
        <v>247</v>
      </c>
      <c r="H853" s="17" t="s">
        <v>188</v>
      </c>
      <c r="I853" s="93" t="str">
        <f>IF(OR(F853=152,F853=162,F853=510),IF((OR(LEFT(RIGHT(E853,13),1)={"A","D","E","F","G","I","L","N","P","R","S","T","V"})),"Ф",""),"")</f>
        <v/>
      </c>
    </row>
    <row r="854" spans="4:9" x14ac:dyDescent="0.3">
      <c r="D854" s="48" t="str">
        <f>CONCATENATE(УЧРЕЖДЕНИЯ!$A$12)</f>
        <v>спорт</v>
      </c>
      <c r="E854" s="92" t="s">
        <v>508</v>
      </c>
      <c r="F854" s="93">
        <v>510</v>
      </c>
      <c r="G854" s="93">
        <v>510</v>
      </c>
      <c r="H854" s="17" t="s">
        <v>188</v>
      </c>
      <c r="I854" s="93" t="str">
        <f>IF(OR(F854=152,F854=162,F854=510),IF((OR(LEFT(RIGHT(E854,13),1)={"A","D","E","F","G","I","L","N","P","R","S","T","V"})),"Ф",""),"")</f>
        <v/>
      </c>
    </row>
    <row r="855" spans="4:9" x14ac:dyDescent="0.3">
      <c r="D855" s="48" t="str">
        <f>CONCATENATE(УЧРЕЖДЕНИЯ!$A$12)</f>
        <v>спорт</v>
      </c>
      <c r="E855" s="92" t="s">
        <v>814</v>
      </c>
      <c r="F855" s="93">
        <v>610</v>
      </c>
      <c r="G855" s="93">
        <v>610</v>
      </c>
      <c r="H855" s="17" t="s">
        <v>188</v>
      </c>
      <c r="I855" s="93" t="str">
        <f>IF(OR(F855=152,F855=162,F855=510),IF((OR(LEFT(RIGHT(E855,13),1)={"A","D","E","F","G","I","L","N","P","R","S","T","V"})),"Ф",""),"")</f>
        <v/>
      </c>
    </row>
    <row r="856" spans="4:9" x14ac:dyDescent="0.3">
      <c r="D856" s="48" t="str">
        <f>CONCATENATE(УЧРЕЖДЕНИЯ!$A$12)</f>
        <v>спорт</v>
      </c>
      <c r="E856" s="92" t="s">
        <v>516</v>
      </c>
      <c r="F856" s="93">
        <v>291</v>
      </c>
      <c r="G856" s="93">
        <v>851</v>
      </c>
      <c r="H856" s="17" t="s">
        <v>188</v>
      </c>
      <c r="I856" s="93" t="str">
        <f>IF(OR(F856=152,F856=162,F856=510),IF((OR(LEFT(RIGHT(E856,13),1)={"A","D","E","F","G","I","L","N","P","R","S","T","V"})),"Ф",""),"")</f>
        <v/>
      </c>
    </row>
    <row r="857" spans="4:9" x14ac:dyDescent="0.3">
      <c r="D857" s="48" t="str">
        <f>CONCATENATE(УЧРЕЖДЕНИЯ!$A$12)</f>
        <v>спорт</v>
      </c>
      <c r="E857" s="92" t="s">
        <v>517</v>
      </c>
      <c r="F857" s="93">
        <v>291</v>
      </c>
      <c r="G857" s="93">
        <v>852</v>
      </c>
      <c r="H857" s="17" t="s">
        <v>188</v>
      </c>
      <c r="I857" s="93" t="str">
        <f>IF(OR(F857=152,F857=162,F857=510),IF((OR(LEFT(RIGHT(E857,13),1)={"A","D","E","F","G","I","L","N","P","R","S","T","V"})),"Ф",""),"")</f>
        <v/>
      </c>
    </row>
    <row r="858" spans="4:9" x14ac:dyDescent="0.3">
      <c r="D858" s="48" t="str">
        <f>CONCATENATE(УЧРЕЖДЕНИЯ!$A$12)</f>
        <v>спорт</v>
      </c>
      <c r="E858" s="92" t="s">
        <v>518</v>
      </c>
      <c r="F858" s="93">
        <v>291</v>
      </c>
      <c r="G858" s="93">
        <v>853</v>
      </c>
      <c r="H858" s="17" t="s">
        <v>188</v>
      </c>
      <c r="I858" s="93" t="str">
        <f>IF(OR(F858=152,F858=162,F858=510),IF((OR(LEFT(RIGHT(E858,13),1)={"A","D","E","F","G","I","L","N","P","R","S","T","V"})),"Ф",""),"")</f>
        <v/>
      </c>
    </row>
    <row r="859" spans="4:9" x14ac:dyDescent="0.3">
      <c r="D859" s="48" t="str">
        <f>CONCATENATE(УЧРЕЖДЕНИЯ!$A$12)</f>
        <v>спорт</v>
      </c>
      <c r="E859" s="92" t="s">
        <v>518</v>
      </c>
      <c r="F859" s="93">
        <v>293</v>
      </c>
      <c r="G859" s="93">
        <v>853</v>
      </c>
      <c r="H859" s="17" t="s">
        <v>188</v>
      </c>
      <c r="I859" s="93" t="str">
        <f>IF(OR(F859=152,F859=162,F859=510),IF((OR(LEFT(RIGHT(E859,13),1)={"A","D","E","F","G","I","L","N","P","R","S","T","V"})),"Ф",""),"")</f>
        <v/>
      </c>
    </row>
    <row r="860" spans="4:9" x14ac:dyDescent="0.3">
      <c r="D860" s="48" t="str">
        <f>CONCATENATE(УЧРЕЖДЕНИЯ!$A$12)</f>
        <v>спорт</v>
      </c>
      <c r="E860" s="92" t="s">
        <v>520</v>
      </c>
      <c r="F860" s="93">
        <v>131</v>
      </c>
      <c r="G860" s="93">
        <v>130</v>
      </c>
      <c r="H860" s="17" t="s">
        <v>188</v>
      </c>
      <c r="I860" s="93" t="str">
        <f>IF(OR(F860=152,F860=162,F860=510),IF((OR(LEFT(RIGHT(E860,13),1)={"A","D","E","F","G","I","L","N","P","R","S","T","V"})),"Ф",""),"")</f>
        <v/>
      </c>
    </row>
    <row r="861" spans="4:9" x14ac:dyDescent="0.3">
      <c r="D861" s="48" t="str">
        <f>CONCATENATE(УЧРЕЖДЕНИЯ!$A$12)</f>
        <v>спорт</v>
      </c>
      <c r="E861" s="92" t="s">
        <v>521</v>
      </c>
      <c r="F861" s="93">
        <v>211</v>
      </c>
      <c r="G861" s="93">
        <v>111</v>
      </c>
      <c r="H861" s="17" t="s">
        <v>188</v>
      </c>
      <c r="I861" s="93" t="str">
        <f>IF(OR(F861=152,F861=162,F861=510),IF((OR(LEFT(RIGHT(E861,13),1)={"A","D","E","F","G","I","L","N","P","R","S","T","V"})),"Ф",""),"")</f>
        <v/>
      </c>
    </row>
    <row r="862" spans="4:9" x14ac:dyDescent="0.3">
      <c r="D862" s="48" t="str">
        <f>CONCATENATE(УЧРЕЖДЕНИЯ!$A$12)</f>
        <v>спорт</v>
      </c>
      <c r="E862" s="92" t="s">
        <v>522</v>
      </c>
      <c r="F862" s="93">
        <v>213</v>
      </c>
      <c r="G862" s="93">
        <v>119</v>
      </c>
      <c r="H862" s="17" t="s">
        <v>188</v>
      </c>
      <c r="I862" s="93" t="str">
        <f>IF(OR(F862=152,F862=162,F862=510),IF((OR(LEFT(RIGHT(E862,13),1)={"A","D","E","F","G","I","L","N","P","R","S","T","V"})),"Ф",""),"")</f>
        <v/>
      </c>
    </row>
    <row r="863" spans="4:9" x14ac:dyDescent="0.3">
      <c r="D863" s="48" t="str">
        <f>CONCATENATE(УЧРЕЖДЕНИЯ!$A$12)</f>
        <v>спорт</v>
      </c>
      <c r="E863" s="92" t="s">
        <v>519</v>
      </c>
      <c r="F863" s="93">
        <v>510</v>
      </c>
      <c r="G863" s="93">
        <v>510</v>
      </c>
      <c r="H863" s="17" t="s">
        <v>188</v>
      </c>
      <c r="I863" s="93" t="str">
        <f>IF(OR(F863=152,F863=162,F863=510),IF((OR(LEFT(RIGHT(E863,13),1)={"A","D","E","F","G","I","L","N","P","R","S","T","V"})),"Ф",""),"")</f>
        <v/>
      </c>
    </row>
    <row r="864" spans="4:9" x14ac:dyDescent="0.3">
      <c r="D864" s="48" t="str">
        <f>CONCATENATE(УЧРЕЖДЕНИЯ!$A$12)</f>
        <v>спорт</v>
      </c>
      <c r="E864" s="92" t="s">
        <v>860</v>
      </c>
      <c r="F864" s="93">
        <v>131</v>
      </c>
      <c r="G864" s="93">
        <v>130</v>
      </c>
      <c r="H864" s="17" t="s">
        <v>188</v>
      </c>
      <c r="I864" s="93" t="str">
        <f>IF(OR(F864=152,F864=162,F864=510),IF((OR(LEFT(RIGHT(E864,13),1)={"A","D","E","F","G","I","L","N","P","R","S","T","V"})),"Ф",""),"")</f>
        <v/>
      </c>
    </row>
    <row r="865" spans="2:9" x14ac:dyDescent="0.3">
      <c r="D865" s="48" t="str">
        <f>CONCATENATE(УЧРЕЖДЕНИЯ!$A$12)</f>
        <v>спорт</v>
      </c>
      <c r="E865" s="92" t="s">
        <v>861</v>
      </c>
      <c r="F865" s="93">
        <v>211</v>
      </c>
      <c r="G865" s="93">
        <v>111</v>
      </c>
      <c r="H865" s="17" t="s">
        <v>188</v>
      </c>
      <c r="I865" s="93" t="str">
        <f>IF(OR(F865=152,F865=162,F865=510),IF((OR(LEFT(RIGHT(E865,13),1)={"A","D","E","F","G","I","L","N","P","R","S","T","V"})),"Ф",""),"")</f>
        <v/>
      </c>
    </row>
    <row r="866" spans="2:9" x14ac:dyDescent="0.3">
      <c r="D866" s="48" t="str">
        <f>CONCATENATE(УЧРЕЖДЕНИЯ!$A$12)</f>
        <v>спорт</v>
      </c>
      <c r="E866" s="92" t="s">
        <v>862</v>
      </c>
      <c r="F866" s="93">
        <v>213</v>
      </c>
      <c r="G866" s="93">
        <v>119</v>
      </c>
      <c r="H866" s="17" t="s">
        <v>188</v>
      </c>
      <c r="I866" s="93" t="str">
        <f>IF(OR(F866=152,F866=162,F866=510),IF((OR(LEFT(RIGHT(E866,13),1)={"A","D","E","F","G","I","L","N","P","R","S","T","V"})),"Ф",""),"")</f>
        <v/>
      </c>
    </row>
    <row r="867" spans="2:9" x14ac:dyDescent="0.3">
      <c r="D867" s="48" t="str">
        <f>CONCATENATE(УЧРЕЖДЕНИЯ!$A$12)</f>
        <v>спорт</v>
      </c>
      <c r="E867" s="92" t="s">
        <v>872</v>
      </c>
      <c r="F867" s="93">
        <v>131</v>
      </c>
      <c r="G867" s="93">
        <v>130</v>
      </c>
      <c r="H867" s="17" t="s">
        <v>188</v>
      </c>
      <c r="I867" s="93" t="str">
        <f>IF(OR(F867=152,F867=162,F867=510),IF((OR(LEFT(RIGHT(E867,13),1)={"A","D","E","F","G","I","L","N","P","R","S","T","V"})),"Ф",""),"")</f>
        <v/>
      </c>
    </row>
    <row r="868" spans="2:9" x14ac:dyDescent="0.3">
      <c r="D868" s="48" t="str">
        <f>CONCATENATE(УЧРЕЖДЕНИЯ!$A$12)</f>
        <v>спорт</v>
      </c>
      <c r="E868" s="92" t="s">
        <v>873</v>
      </c>
      <c r="F868" s="93">
        <v>211</v>
      </c>
      <c r="G868" s="93">
        <v>111</v>
      </c>
      <c r="H868" s="17" t="s">
        <v>188</v>
      </c>
      <c r="I868" s="93" t="str">
        <f>IF(OR(F868=152,F868=162,F868=510),IF((OR(LEFT(RIGHT(E868,13),1)={"A","D","E","F","G","I","L","N","P","R","S","T","V"})),"Ф",""),"")</f>
        <v/>
      </c>
    </row>
    <row r="869" spans="2:9" x14ac:dyDescent="0.3">
      <c r="D869" s="48" t="str">
        <f>CONCATENATE(УЧРЕЖДЕНИЯ!$A$12)</f>
        <v>спорт</v>
      </c>
      <c r="E869" s="92" t="s">
        <v>874</v>
      </c>
      <c r="F869" s="93">
        <v>213</v>
      </c>
      <c r="G869" s="93">
        <v>119</v>
      </c>
      <c r="H869" s="17" t="s">
        <v>188</v>
      </c>
      <c r="I869" s="93" t="str">
        <f>IF(OR(F869=152,F869=162,F869=510),IF((OR(LEFT(RIGHT(E869,13),1)={"A","D","E","F","G","I","L","N","P","R","S","T","V"})),"Ф",""),"")</f>
        <v/>
      </c>
    </row>
    <row r="870" spans="2:9" x14ac:dyDescent="0.3">
      <c r="D870" s="48" t="str">
        <f>CONCATENATE(УЧРЕЖДЕНИЯ!$A$12)</f>
        <v>спорт</v>
      </c>
      <c r="E870" s="92" t="s">
        <v>905</v>
      </c>
      <c r="F870" s="93">
        <v>2232</v>
      </c>
      <c r="G870" s="93">
        <v>247</v>
      </c>
      <c r="H870" s="17" t="s">
        <v>188</v>
      </c>
      <c r="I870" s="93" t="str">
        <f>IF(OR(F870=152,F870=162,F870=510),IF((OR(LEFT(RIGHT(E870,13),1)={"A","D","E","F","G","I","L","N","P","R","S","T","V"})),"Ф",""),"")</f>
        <v/>
      </c>
    </row>
    <row r="871" spans="2:9" x14ac:dyDescent="0.3">
      <c r="B871" s="48" t="s">
        <v>707</v>
      </c>
      <c r="C871" s="48" t="s">
        <v>133</v>
      </c>
      <c r="D871" s="48" t="str">
        <f>CONCATENATE(УЧРЕЖДЕНИЯ!$A$10)</f>
        <v>газета</v>
      </c>
      <c r="E871" s="92" t="s">
        <v>524</v>
      </c>
      <c r="F871" s="93">
        <v>131</v>
      </c>
      <c r="G871" s="93">
        <v>130</v>
      </c>
      <c r="H871" s="17" t="s">
        <v>189</v>
      </c>
      <c r="I871" s="93" t="str">
        <f>IF(OR(F871=152,F871=162,F871=510),IF((OR(LEFT(RIGHT(E871,13),1)={"A","D","E","F","G","I","L","N","P","R","S","T","V"})),"Ф",""),"")</f>
        <v/>
      </c>
    </row>
    <row r="872" spans="2:9" x14ac:dyDescent="0.3">
      <c r="D872" s="48" t="str">
        <f>CONCATENATE(УЧРЕЖДЕНИЯ!$A$10)</f>
        <v>газета</v>
      </c>
      <c r="E872" s="92" t="s">
        <v>525</v>
      </c>
      <c r="F872" s="93">
        <v>211</v>
      </c>
      <c r="G872" s="93">
        <v>111</v>
      </c>
      <c r="H872" s="17" t="s">
        <v>189</v>
      </c>
      <c r="I872" s="93" t="str">
        <f>IF(OR(F872=152,F872=162,F872=510),IF((OR(LEFT(RIGHT(E872,13),1)={"A","D","E","F","G","I","L","N","P","R","S","T","V"})),"Ф",""),"")</f>
        <v/>
      </c>
    </row>
    <row r="873" spans="2:9" x14ac:dyDescent="0.3">
      <c r="D873" s="48" t="str">
        <f>CONCATENATE(УЧРЕЖДЕНИЯ!$A$10)</f>
        <v>газета</v>
      </c>
      <c r="E873" s="92" t="s">
        <v>526</v>
      </c>
      <c r="F873" s="93">
        <v>213</v>
      </c>
      <c r="G873" s="93">
        <v>119</v>
      </c>
      <c r="H873" s="17" t="s">
        <v>189</v>
      </c>
      <c r="I873" s="93" t="str">
        <f>IF(OR(F873=152,F873=162,F873=510),IF((OR(LEFT(RIGHT(E873,13),1)={"A","D","E","F","G","I","L","N","P","R","S","T","V"})),"Ф",""),"")</f>
        <v/>
      </c>
    </row>
    <row r="874" spans="2:9" x14ac:dyDescent="0.3">
      <c r="D874" s="48" t="str">
        <f>CONCATENATE(УЧРЕЖДЕНИЯ!$A$10)</f>
        <v>газета</v>
      </c>
      <c r="E874" s="92" t="s">
        <v>527</v>
      </c>
      <c r="F874" s="93">
        <v>222</v>
      </c>
      <c r="G874" s="93">
        <v>244</v>
      </c>
      <c r="H874" s="17" t="s">
        <v>189</v>
      </c>
      <c r="I874" s="93" t="str">
        <f>IF(OR(F874=152,F874=162,F874=510),IF((OR(LEFT(RIGHT(E874,13),1)={"A","D","E","F","G","I","L","N","P","R","S","T","V"})),"Ф",""),"")</f>
        <v/>
      </c>
    </row>
    <row r="875" spans="2:9" x14ac:dyDescent="0.3">
      <c r="D875" s="48" t="str">
        <f>CONCATENATE(УЧРЕЖДЕНИЯ!$A$10)</f>
        <v>газета</v>
      </c>
      <c r="E875" s="92" t="s">
        <v>527</v>
      </c>
      <c r="F875" s="93">
        <v>226</v>
      </c>
      <c r="G875" s="93">
        <v>244</v>
      </c>
      <c r="H875" s="17" t="s">
        <v>189</v>
      </c>
      <c r="I875" s="93" t="str">
        <f>IF(OR(F875=152,F875=162,F875=510),IF((OR(LEFT(RIGHT(E875,13),1)={"A","D","E","F","G","I","L","N","P","R","S","T","V"})),"Ф",""),"")</f>
        <v/>
      </c>
    </row>
    <row r="876" spans="2:9" x14ac:dyDescent="0.3">
      <c r="D876" s="48" t="str">
        <f>CONCATENATE(УЧРЕЖДЕНИЯ!$A$10)</f>
        <v>газета</v>
      </c>
      <c r="E876" s="92" t="s">
        <v>674</v>
      </c>
      <c r="F876" s="93">
        <v>2232</v>
      </c>
      <c r="G876" s="93">
        <v>247</v>
      </c>
      <c r="H876" s="17" t="s">
        <v>189</v>
      </c>
      <c r="I876" s="93" t="str">
        <f>IF(OR(F876=152,F876=162,F876=510),IF((OR(LEFT(RIGHT(E876,13),1)={"A","D","E","F","G","I","L","N","P","R","S","T","V"})),"Ф",""),"")</f>
        <v/>
      </c>
    </row>
    <row r="877" spans="2:9" x14ac:dyDescent="0.3">
      <c r="D877" s="48" t="str">
        <f>CONCATENATE(УЧРЕЖДЕНИЯ!$A$10)</f>
        <v>газета</v>
      </c>
      <c r="E877" s="92" t="s">
        <v>523</v>
      </c>
      <c r="F877" s="93">
        <v>510</v>
      </c>
      <c r="G877" s="93">
        <v>510</v>
      </c>
      <c r="H877" s="17" t="s">
        <v>189</v>
      </c>
      <c r="I877" s="93" t="str">
        <f>IF(OR(F877=152,F877=162,F877=510),IF((OR(LEFT(RIGHT(E877,13),1)={"A","D","E","F","G","I","L","N","P","R","S","T","V"})),"Ф",""),"")</f>
        <v/>
      </c>
    </row>
    <row r="878" spans="2:9" x14ac:dyDescent="0.3">
      <c r="D878" s="48" t="str">
        <f>CONCATENATE(УЧРЕЖДЕНИЯ!$A$10)</f>
        <v>газета</v>
      </c>
      <c r="E878" s="92" t="s">
        <v>529</v>
      </c>
      <c r="F878" s="93">
        <v>131</v>
      </c>
      <c r="G878" s="93">
        <v>130</v>
      </c>
      <c r="H878" s="17" t="s">
        <v>189</v>
      </c>
      <c r="I878" s="93" t="str">
        <f>IF(OR(F878=152,F878=162,F878=510),IF((OR(LEFT(RIGHT(E878,13),1)={"A","D","E","F","G","I","L","N","P","R","S","T","V"})),"Ф",""),"")</f>
        <v/>
      </c>
    </row>
    <row r="879" spans="2:9" x14ac:dyDescent="0.3">
      <c r="D879" s="48" t="str">
        <f>CONCATENATE(УЧРЕЖДЕНИЯ!$A$10)</f>
        <v>газета</v>
      </c>
      <c r="E879" s="92" t="s">
        <v>530</v>
      </c>
      <c r="F879" s="93">
        <v>211</v>
      </c>
      <c r="G879" s="93">
        <v>111</v>
      </c>
      <c r="H879" s="17" t="s">
        <v>189</v>
      </c>
      <c r="I879" s="93" t="str">
        <f>IF(OR(F879=152,F879=162,F879=510),IF((OR(LEFT(RIGHT(E879,13),1)={"A","D","E","F","G","I","L","N","P","R","S","T","V"})),"Ф",""),"")</f>
        <v/>
      </c>
    </row>
    <row r="880" spans="2:9" x14ac:dyDescent="0.3">
      <c r="D880" s="48" t="str">
        <f>CONCATENATE(УЧРЕЖДЕНИЯ!$A$10)</f>
        <v>газета</v>
      </c>
      <c r="E880" s="92" t="s">
        <v>531</v>
      </c>
      <c r="F880" s="93">
        <v>213</v>
      </c>
      <c r="G880" s="93">
        <v>119</v>
      </c>
      <c r="H880" s="17" t="s">
        <v>189</v>
      </c>
      <c r="I880" s="93" t="str">
        <f>IF(OR(F880=152,F880=162,F880=510),IF((OR(LEFT(RIGHT(E880,13),1)={"A","D","E","F","G","I","L","N","P","R","S","T","V"})),"Ф",""),"")</f>
        <v/>
      </c>
    </row>
    <row r="881" spans="1:9" x14ac:dyDescent="0.3">
      <c r="D881" s="48" t="str">
        <f>CONCATENATE(УЧРЕЖДЕНИЯ!$A$10)</f>
        <v>газета</v>
      </c>
      <c r="E881" s="92" t="s">
        <v>532</v>
      </c>
      <c r="F881" s="93">
        <v>222</v>
      </c>
      <c r="G881" s="93">
        <v>244</v>
      </c>
      <c r="H881" s="17" t="s">
        <v>189</v>
      </c>
      <c r="I881" s="93" t="str">
        <f>IF(OR(F881=152,F881=162,F881=510),IF((OR(LEFT(RIGHT(E881,13),1)={"A","D","E","F","G","I","L","N","P","R","S","T","V"})),"Ф",""),"")</f>
        <v/>
      </c>
    </row>
    <row r="882" spans="1:9" x14ac:dyDescent="0.3">
      <c r="D882" s="48" t="str">
        <f>CONCATENATE(УЧРЕЖДЕНИЯ!$A$10)</f>
        <v>газета</v>
      </c>
      <c r="E882" s="92" t="s">
        <v>532</v>
      </c>
      <c r="F882" s="93">
        <v>226</v>
      </c>
      <c r="G882" s="93">
        <v>244</v>
      </c>
      <c r="H882" s="17" t="s">
        <v>189</v>
      </c>
      <c r="I882" s="93" t="str">
        <f>IF(OR(F882=152,F882=162,F882=510),IF((OR(LEFT(RIGHT(E882,13),1)={"A","D","E","F","G","I","L","N","P","R","S","T","V"})),"Ф",""),"")</f>
        <v/>
      </c>
    </row>
    <row r="883" spans="1:9" x14ac:dyDescent="0.3">
      <c r="D883" s="48" t="str">
        <f>CONCATENATE(УЧРЕЖДЕНИЯ!$A$10)</f>
        <v>газета</v>
      </c>
      <c r="E883" s="92" t="s">
        <v>528</v>
      </c>
      <c r="F883" s="93">
        <v>510</v>
      </c>
      <c r="G883" s="93">
        <v>510</v>
      </c>
      <c r="H883" s="17" t="s">
        <v>189</v>
      </c>
      <c r="I883" s="93" t="str">
        <f>IF(OR(F883=152,F883=162,F883=510),IF((OR(LEFT(RIGHT(E883,13),1)={"A","D","E","F","G","I","L","N","P","R","S","T","V"})),"Ф",""),"")</f>
        <v/>
      </c>
    </row>
    <row r="884" spans="1:9" x14ac:dyDescent="0.3">
      <c r="D884" s="48" t="str">
        <f>CONCATENATE(УЧРЕЖДЕНИЯ!$A$10)</f>
        <v>газета</v>
      </c>
      <c r="E884" s="92" t="s">
        <v>675</v>
      </c>
      <c r="F884" s="93">
        <v>2232</v>
      </c>
      <c r="G884" s="93">
        <v>247</v>
      </c>
      <c r="H884" s="17" t="s">
        <v>189</v>
      </c>
      <c r="I884" s="93" t="str">
        <f>IF(OR(F884=152,F884=162,F884=510),IF((OR(LEFT(RIGHT(E884,13),1)={"A","D","E","F","G","I","L","N","P","R","S","T","V"})),"Ф",""),"")</f>
        <v/>
      </c>
    </row>
    <row r="885" spans="1:9" x14ac:dyDescent="0.3">
      <c r="A885" s="48">
        <f>ROW()</f>
        <v>885</v>
      </c>
      <c r="B885" s="48" t="s">
        <v>709</v>
      </c>
      <c r="D885" s="48" t="str">
        <f>CONCATENATE(УЧРЕЖДЕНИЯ!$A$12)</f>
        <v>спорт</v>
      </c>
      <c r="E885" s="92" t="s">
        <v>508</v>
      </c>
      <c r="F885" s="93">
        <v>510</v>
      </c>
      <c r="G885" s="93">
        <v>510</v>
      </c>
      <c r="H885" s="17" t="s">
        <v>188</v>
      </c>
      <c r="I885" s="93" t="str">
        <f>IF(OR(F885=152,F885=162,F885=510),IF((OR(LEFT(RIGHT(E885,13),1)={"A","D","E","F","G","I","L","N","P","R","S","T","V"})),"Ф",""),"")</f>
        <v/>
      </c>
    </row>
    <row r="886" spans="1:9" x14ac:dyDescent="0.3">
      <c r="D886" s="48" t="str">
        <f>CONCATENATE(УЧРЕЖДЕНИЯ!$A$4)</f>
        <v>Школа</v>
      </c>
      <c r="E886" s="92" t="s">
        <v>372</v>
      </c>
      <c r="F886" s="93">
        <v>510</v>
      </c>
      <c r="G886" s="93">
        <v>510</v>
      </c>
      <c r="H886" s="17" t="s">
        <v>182</v>
      </c>
      <c r="I886" s="93" t="str">
        <f>IF(OR(F886=152,F886=162,F886=510),IF((OR(LEFT(RIGHT(E886,13),1)={"A","D","E","F","G","I","L","N","P","R","S","T","V"})),"Ф",""),"")</f>
        <v/>
      </c>
    </row>
    <row r="887" spans="1:9" x14ac:dyDescent="0.3">
      <c r="I887" s="93" t="str">
        <f>IF(OR(F887=152,F887=162,F887=510),IF((OR(LEFT(RIGHT(E887,13),1)={"A","D","E","F","G","I","L","N","P","R","S","T","V"})),"Ф",""),"")</f>
        <v/>
      </c>
    </row>
    <row r="888" spans="1:9" x14ac:dyDescent="0.3">
      <c r="A888" s="48">
        <f>ROW()</f>
        <v>888</v>
      </c>
      <c r="B888" s="48" t="s">
        <v>708</v>
      </c>
      <c r="C888" s="48" t="s">
        <v>704</v>
      </c>
      <c r="D888" s="48" t="str">
        <f>CONCATENATE(УЧРЕЖДЕНИЯ!$A$3)</f>
        <v>Детсад</v>
      </c>
      <c r="E888" s="92" t="s">
        <v>785</v>
      </c>
      <c r="F888" s="93">
        <v>510</v>
      </c>
      <c r="G888" s="93">
        <v>510</v>
      </c>
      <c r="H888" s="17" t="s">
        <v>181</v>
      </c>
      <c r="I888" s="93" t="str">
        <f>IF(OR(F888=152,F888=162,F888=510),IF((OR(LEFT(RIGHT(E888,13),1)={"A","D","E","F","G","I","L","N","P","R","S","T","V"})),"Ф",""),"")</f>
        <v/>
      </c>
    </row>
    <row r="889" spans="1:9" x14ac:dyDescent="0.3">
      <c r="D889" s="48" t="str">
        <f>CONCATENATE(УЧРЕЖДЕНИЯ!$A$3)</f>
        <v>Детсад</v>
      </c>
      <c r="E889" s="92" t="s">
        <v>786</v>
      </c>
      <c r="F889" s="93">
        <v>152</v>
      </c>
      <c r="G889" s="93">
        <v>150</v>
      </c>
      <c r="H889" s="17" t="s">
        <v>181</v>
      </c>
      <c r="I889" s="93" t="str">
        <f>IF(OR(F889=152,F889=162,F889=510),IF((OR(LEFT(RIGHT(E889,13),1)={"A","D","E","F","G","I","L","N","P","R","S","T","V"})),"Ф",""),"")</f>
        <v/>
      </c>
    </row>
    <row r="890" spans="1:9" x14ac:dyDescent="0.3">
      <c r="D890" s="48" t="str">
        <f>CONCATENATE(УЧРЕЖДЕНИЯ!$A$3)</f>
        <v>Детсад</v>
      </c>
      <c r="E890" s="92" t="s">
        <v>787</v>
      </c>
      <c r="F890" s="93">
        <v>342</v>
      </c>
      <c r="G890" s="93">
        <v>244</v>
      </c>
      <c r="H890" s="17" t="s">
        <v>181</v>
      </c>
      <c r="I890" s="93" t="str">
        <f>IF(OR(F890=152,F890=162,F890=510),IF((OR(LEFT(RIGHT(E890,13),1)={"A","D","E","F","G","I","L","N","P","R","S","T","V"})),"Ф",""),"")</f>
        <v/>
      </c>
    </row>
    <row r="891" spans="1:9" x14ac:dyDescent="0.3">
      <c r="D891" s="48" t="str">
        <f>CONCATENATE(УЧРЕЖДЕНИЯ!$A$3)</f>
        <v>Детсад</v>
      </c>
      <c r="E891" s="92" t="s">
        <v>787</v>
      </c>
      <c r="F891" s="93">
        <v>346</v>
      </c>
      <c r="G891" s="93">
        <v>244</v>
      </c>
      <c r="H891" s="17" t="s">
        <v>181</v>
      </c>
      <c r="I891" s="93" t="str">
        <f>IF(OR(F891=152,F891=162,F891=510),IF((OR(LEFT(RIGHT(E891,13),1)={"A","D","E","F","G","I","L","N","P","R","S","T","V"})),"Ф",""),"")</f>
        <v/>
      </c>
    </row>
    <row r="892" spans="1:9" x14ac:dyDescent="0.3">
      <c r="D892" s="48" t="str">
        <f>CONCATENATE(УЧРЕЖДЕНИЯ!$A$3)</f>
        <v>Детсад</v>
      </c>
      <c r="E892" s="92" t="s">
        <v>790</v>
      </c>
      <c r="F892" s="93">
        <v>510</v>
      </c>
      <c r="G892" s="93">
        <v>510</v>
      </c>
      <c r="H892" s="17" t="s">
        <v>181</v>
      </c>
      <c r="I892" s="93" t="str">
        <f>IF(OR(F892=152,F892=162,F892=510),IF((OR(LEFT(RIGHT(E892,13),1)={"A","D","E","F","G","I","L","N","P","R","S","T","V"})),"Ф",""),"")</f>
        <v/>
      </c>
    </row>
    <row r="893" spans="1:9" x14ac:dyDescent="0.3">
      <c r="D893" s="48" t="str">
        <f>CONCATENATE(УЧРЕЖДЕНИЯ!$A$3)</f>
        <v>Детсад</v>
      </c>
      <c r="E893" s="92" t="s">
        <v>730</v>
      </c>
      <c r="F893" s="93">
        <v>152</v>
      </c>
      <c r="G893" s="93">
        <v>150</v>
      </c>
      <c r="H893" s="17" t="s">
        <v>181</v>
      </c>
      <c r="I893" s="93" t="str">
        <f>IF(OR(F893=152,F893=162,F893=510),IF((OR(LEFT(RIGHT(E893,13),1)={"A","D","E","F","G","I","L","N","P","R","S","T","V"})),"Ф",""),"")</f>
        <v/>
      </c>
    </row>
    <row r="894" spans="1:9" x14ac:dyDescent="0.3">
      <c r="D894" s="48" t="str">
        <f>CONCATENATE(УЧРЕЖДЕНИЯ!$A$3)</f>
        <v>Детсад</v>
      </c>
      <c r="E894" s="92" t="s">
        <v>791</v>
      </c>
      <c r="F894" s="93">
        <v>226</v>
      </c>
      <c r="G894" s="93">
        <v>243</v>
      </c>
      <c r="H894" s="17" t="s">
        <v>181</v>
      </c>
      <c r="I894" s="93" t="str">
        <f>IF(OR(F894=152,F894=162,F894=510),IF((OR(LEFT(RIGHT(E894,13),1)={"A","D","E","F","G","I","L","N","P","R","S","T","V"})),"Ф",""),"")</f>
        <v/>
      </c>
    </row>
    <row r="895" spans="1:9" x14ac:dyDescent="0.3">
      <c r="D895" s="48" t="str">
        <f>CONCATENATE(УЧРЕЖДЕНИЯ!$A$3)</f>
        <v>Детсад</v>
      </c>
      <c r="E895" s="92" t="s">
        <v>731</v>
      </c>
      <c r="F895" s="93">
        <v>225</v>
      </c>
      <c r="G895" s="93">
        <v>244</v>
      </c>
      <c r="H895" s="17" t="s">
        <v>181</v>
      </c>
      <c r="I895" s="93" t="str">
        <f>IF(OR(F895=152,F895=162,F895=510),IF((OR(LEFT(RIGHT(E895,13),1)={"A","D","E","F","G","I","L","N","P","R","S","T","V"})),"Ф",""),"")</f>
        <v/>
      </c>
    </row>
    <row r="896" spans="1:9" x14ac:dyDescent="0.3">
      <c r="D896" s="48" t="str">
        <f>CONCATENATE(УЧРЕЖДЕНИЯ!$A$3)</f>
        <v>Детсад</v>
      </c>
      <c r="E896" s="228" t="s">
        <v>825</v>
      </c>
      <c r="F896" s="93">
        <v>152</v>
      </c>
      <c r="G896" s="93">
        <v>150</v>
      </c>
      <c r="H896" s="17" t="s">
        <v>181</v>
      </c>
      <c r="I896" s="93" t="str">
        <f>IF(OR(F896=152,F896=162,F896=510),IF((OR(LEFT(RIGHT(E896,13),1)={"A","D","E","F","G","I","L","N","P","R","S","T","V"})),"Ф",""),"")</f>
        <v/>
      </c>
    </row>
    <row r="897" spans="3:9" x14ac:dyDescent="0.3">
      <c r="D897" s="48" t="str">
        <f>CONCATENATE(УЧРЕЖДЕНИЯ!$A$3)</f>
        <v>Детсад</v>
      </c>
      <c r="E897" s="228" t="s">
        <v>826</v>
      </c>
      <c r="F897" s="93">
        <v>225</v>
      </c>
      <c r="G897" s="93">
        <v>244</v>
      </c>
      <c r="H897" s="17" t="s">
        <v>181</v>
      </c>
      <c r="I897" s="93" t="str">
        <f>IF(OR(F897=152,F897=162,F897=510),IF((OR(LEFT(RIGHT(E897,13),1)={"A","D","E","F","G","I","L","N","P","R","S","T","V"})),"Ф",""),"")</f>
        <v/>
      </c>
    </row>
    <row r="898" spans="3:9" x14ac:dyDescent="0.3">
      <c r="D898" s="48" t="str">
        <f>CONCATENATE(УЧРЕЖДЕНИЯ!$A$3)</f>
        <v>Детсад</v>
      </c>
      <c r="E898" s="228" t="s">
        <v>826</v>
      </c>
      <c r="F898" s="93">
        <v>226</v>
      </c>
      <c r="G898" s="93">
        <v>244</v>
      </c>
      <c r="H898" s="17" t="s">
        <v>181</v>
      </c>
      <c r="I898" s="93" t="str">
        <f>IF(OR(F898=152,F898=162,F898=510),IF((OR(LEFT(RIGHT(E898,13),1)={"A","D","E","F","G","I","L","N","P","R","S","T","V"})),"Ф",""),"")</f>
        <v/>
      </c>
    </row>
    <row r="899" spans="3:9" x14ac:dyDescent="0.3">
      <c r="D899" s="48" t="str">
        <f>CONCATENATE(УЧРЕЖДЕНИЯ!$A$3)</f>
        <v>Детсад</v>
      </c>
      <c r="E899" s="228" t="s">
        <v>826</v>
      </c>
      <c r="F899" s="93">
        <v>310</v>
      </c>
      <c r="G899" s="93">
        <v>244</v>
      </c>
      <c r="H899" s="17" t="s">
        <v>181</v>
      </c>
      <c r="I899" s="93" t="str">
        <f>IF(OR(F899=152,F899=162,F899=510),IF((OR(LEFT(RIGHT(E899,13),1)={"A","D","E","F","G","I","L","N","P","R","S","T","V"})),"Ф",""),"")</f>
        <v/>
      </c>
    </row>
    <row r="900" spans="3:9" x14ac:dyDescent="0.3">
      <c r="D900" s="48" t="str">
        <f>CONCATENATE(УЧРЕЖДЕНИЯ!$A$3)</f>
        <v>Детсад</v>
      </c>
      <c r="E900" s="228" t="s">
        <v>826</v>
      </c>
      <c r="F900" s="93">
        <v>346</v>
      </c>
      <c r="G900" s="93">
        <v>244</v>
      </c>
      <c r="H900" s="17" t="s">
        <v>181</v>
      </c>
      <c r="I900" s="93" t="str">
        <f>IF(OR(F900=152,F900=162,F900=510),IF((OR(LEFT(RIGHT(E900,13),1)={"A","D","E","F","G","I","L","N","P","R","S","T","V"})),"Ф",""),"")</f>
        <v/>
      </c>
    </row>
    <row r="901" spans="3:9" x14ac:dyDescent="0.3">
      <c r="D901" s="48" t="str">
        <f>CONCATENATE(УЧРЕЖДЕНИЯ!$A$3)</f>
        <v>Детсад</v>
      </c>
      <c r="E901" s="92" t="s">
        <v>732</v>
      </c>
      <c r="F901" s="93">
        <v>152</v>
      </c>
      <c r="G901" s="93">
        <v>150</v>
      </c>
      <c r="H901" s="17" t="s">
        <v>181</v>
      </c>
      <c r="I901" s="93" t="str">
        <f>IF(OR(F901=152,F901=162,F901=510),IF((OR(LEFT(RIGHT(E901,13),1)={"A","D","E","F","G","I","L","N","P","R","S","T","V"})),"Ф",""),"")</f>
        <v/>
      </c>
    </row>
    <row r="902" spans="3:9" x14ac:dyDescent="0.3">
      <c r="D902" s="48" t="str">
        <f>CONCATENATE(УЧРЕЖДЕНИЯ!$A$3)</f>
        <v>Детсад</v>
      </c>
      <c r="E902" s="92" t="s">
        <v>733</v>
      </c>
      <c r="F902" s="93">
        <v>225</v>
      </c>
      <c r="G902" s="93">
        <v>243</v>
      </c>
      <c r="H902" s="17" t="s">
        <v>181</v>
      </c>
      <c r="I902" s="93" t="str">
        <f>IF(OR(F902=152,F902=162,F902=510),IF((OR(LEFT(RIGHT(E902,13),1)={"A","D","E","F","G","I","L","N","P","R","S","T","V"})),"Ф",""),"")</f>
        <v/>
      </c>
    </row>
    <row r="903" spans="3:9" x14ac:dyDescent="0.3">
      <c r="D903" s="48" t="str">
        <f>CONCATENATE(УЧРЕЖДЕНИЯ!$A$3)</f>
        <v>Детсад</v>
      </c>
      <c r="E903" s="92" t="s">
        <v>915</v>
      </c>
      <c r="F903" s="93">
        <v>152</v>
      </c>
      <c r="G903" s="93">
        <v>150</v>
      </c>
      <c r="H903" s="17" t="s">
        <v>181</v>
      </c>
      <c r="I903" s="93" t="str">
        <f>IF(OR(F903=152,F903=162,F903=510),IF((OR(LEFT(RIGHT(E903,13),1)={"A","D","E","F","G","I","L","N","P","R","S","T","V"})),"Ф",""),"")</f>
        <v/>
      </c>
    </row>
    <row r="904" spans="3:9" x14ac:dyDescent="0.3">
      <c r="D904" s="48" t="str">
        <f>CONCATENATE(УЧРЕЖДЕНИЯ!$A$3)</f>
        <v>Детсад</v>
      </c>
      <c r="E904" s="92" t="s">
        <v>916</v>
      </c>
      <c r="F904" s="93">
        <v>226</v>
      </c>
      <c r="G904" s="93">
        <v>244</v>
      </c>
      <c r="H904" s="17" t="s">
        <v>181</v>
      </c>
      <c r="I904" s="93" t="str">
        <f>IF(OR(F904=152,F904=162,F904=510),IF((OR(LEFT(RIGHT(E904,13),1)={"A","D","E","F","G","I","L","N","P","R","S","T","V"})),"Ф",""),"")</f>
        <v/>
      </c>
    </row>
    <row r="905" spans="3:9" x14ac:dyDescent="0.3">
      <c r="D905" s="48" t="str">
        <f>CONCATENATE(УЧРЕЖДЕНИЯ!$A$3)</f>
        <v>Детсад</v>
      </c>
      <c r="E905" s="92" t="s">
        <v>916</v>
      </c>
      <c r="F905" s="93">
        <v>342</v>
      </c>
      <c r="G905" s="93">
        <v>244</v>
      </c>
      <c r="H905" s="17" t="s">
        <v>181</v>
      </c>
      <c r="I905" s="93" t="str">
        <f>IF(OR(F905=152,F905=162,F905=510),IF((OR(LEFT(RIGHT(E905,13),1)={"A","D","E","F","G","I","L","N","P","R","S","T","V"})),"Ф",""),"")</f>
        <v/>
      </c>
    </row>
    <row r="906" spans="3:9" x14ac:dyDescent="0.3">
      <c r="C906" s="48" t="s">
        <v>705</v>
      </c>
      <c r="D906" s="48" t="str">
        <f>CONCATENATE(УЧРЕЖДЕНИЯ!$A$4)</f>
        <v>Школа</v>
      </c>
      <c r="E906" s="92" t="s">
        <v>723</v>
      </c>
      <c r="F906" s="93">
        <v>152</v>
      </c>
      <c r="G906" s="93">
        <v>150</v>
      </c>
      <c r="H906" s="17" t="s">
        <v>182</v>
      </c>
      <c r="I906" s="93" t="str">
        <f>IF(OR(F906=152,F906=162,F906=510),IF((OR(LEFT(RIGHT(E906,13),1)={"A","D","E","F","G","I","L","N","P","R","S","T","V"})),"Ф",""),"")</f>
        <v/>
      </c>
    </row>
    <row r="907" spans="3:9" x14ac:dyDescent="0.3">
      <c r="D907" s="48" t="str">
        <f>CONCATENATE(УЧРЕЖДЕНИЯ!$A$4)</f>
        <v>Школа</v>
      </c>
      <c r="E907" s="92" t="s">
        <v>724</v>
      </c>
      <c r="F907" s="93">
        <v>211</v>
      </c>
      <c r="G907" s="93">
        <v>111</v>
      </c>
      <c r="H907" s="17" t="s">
        <v>182</v>
      </c>
      <c r="I907" s="93" t="str">
        <f>IF(OR(F907=152,F907=162,F907=510),IF((OR(LEFT(RIGHT(E907,13),1)={"A","D","E","F","G","I","L","N","P","R","S","T","V"})),"Ф",""),"")</f>
        <v/>
      </c>
    </row>
    <row r="908" spans="3:9" x14ac:dyDescent="0.3">
      <c r="D908" s="48" t="str">
        <f>CONCATENATE(УЧРЕЖДЕНИЯ!$A$4)</f>
        <v>Школа</v>
      </c>
      <c r="E908" s="92" t="s">
        <v>725</v>
      </c>
      <c r="F908" s="93">
        <v>213</v>
      </c>
      <c r="G908" s="93">
        <v>119</v>
      </c>
      <c r="H908" s="17" t="s">
        <v>182</v>
      </c>
      <c r="I908" s="93" t="str">
        <f>IF(OR(F908=152,F908=162,F908=510),IF((OR(LEFT(RIGHT(E908,13),1)={"A","D","E","F","G","I","L","N","P","R","S","T","V"})),"Ф",""),"")</f>
        <v/>
      </c>
    </row>
    <row r="909" spans="3:9" x14ac:dyDescent="0.3">
      <c r="D909" s="48" t="str">
        <f>CONCATENATE(УЧРЕЖДЕНИЯ!$A$4)</f>
        <v>Школа</v>
      </c>
      <c r="E909" s="92" t="s">
        <v>792</v>
      </c>
      <c r="F909" s="93">
        <v>152</v>
      </c>
      <c r="G909" s="93">
        <v>150</v>
      </c>
      <c r="H909" s="17" t="s">
        <v>182</v>
      </c>
      <c r="I909" s="93" t="str">
        <f>IF(OR(F909=152,F909=162,F909=510),IF((OR(LEFT(RIGHT(E909,13),1)={"A","D","E","F","G","I","L","N","P","R","S","T","V"})),"Ф",""),"")</f>
        <v/>
      </c>
    </row>
    <row r="910" spans="3:9" x14ac:dyDescent="0.3">
      <c r="D910" s="48" t="str">
        <f>CONCATENATE(УЧРЕЖДЕНИЯ!$A$4)</f>
        <v>Школа</v>
      </c>
      <c r="E910" s="92" t="s">
        <v>793</v>
      </c>
      <c r="F910" s="93">
        <v>226</v>
      </c>
      <c r="G910" s="93">
        <v>244</v>
      </c>
      <c r="H910" s="17" t="s">
        <v>182</v>
      </c>
      <c r="I910" s="93" t="str">
        <f>IF(OR(F910=152,F910=162,F910=510),IF((OR(LEFT(RIGHT(E910,13),1)={"A","D","E","F","G","I","L","N","P","R","S","T","V"})),"Ф",""),"")</f>
        <v/>
      </c>
    </row>
    <row r="911" spans="3:9" x14ac:dyDescent="0.3">
      <c r="D911" s="48" t="str">
        <f>CONCATENATE(УЧРЕЖДЕНИЯ!$A$4)</f>
        <v>Школа</v>
      </c>
      <c r="E911" s="92" t="s">
        <v>793</v>
      </c>
      <c r="F911" s="93">
        <v>342</v>
      </c>
      <c r="G911" s="93">
        <v>244</v>
      </c>
      <c r="H911" s="17" t="s">
        <v>182</v>
      </c>
      <c r="I911" s="93" t="str">
        <f>IF(OR(F911=152,F911=162,F911=510),IF((OR(LEFT(RIGHT(E911,13),1)={"A","D","E","F","G","I","L","N","P","R","S","T","V"})),"Ф",""),"")</f>
        <v/>
      </c>
    </row>
    <row r="912" spans="3:9" x14ac:dyDescent="0.3">
      <c r="D912" s="48" t="str">
        <f>CONCATENATE(УЧРЕЖДЕНИЯ!$A$4)</f>
        <v>Школа</v>
      </c>
      <c r="E912" s="92" t="s">
        <v>794</v>
      </c>
      <c r="F912" s="93">
        <v>510</v>
      </c>
      <c r="G912" s="93">
        <v>510</v>
      </c>
      <c r="H912" s="17" t="s">
        <v>182</v>
      </c>
      <c r="I912" s="93" t="str">
        <f>IF(OR(F912=152,F912=162,F912=510),IF((OR(LEFT(RIGHT(E912,13),1)={"A","D","E","F","G","I","L","N","P","R","S","T","V"})),"Ф",""),"")</f>
        <v/>
      </c>
    </row>
    <row r="913" spans="4:9" x14ac:dyDescent="0.3">
      <c r="D913" s="48" t="str">
        <f>CONCATENATE(УЧРЕЖДЕНИЯ!$A$4)</f>
        <v>Школа</v>
      </c>
      <c r="E913" s="92" t="s">
        <v>726</v>
      </c>
      <c r="F913" s="93">
        <v>152</v>
      </c>
      <c r="G913" s="93">
        <v>150</v>
      </c>
      <c r="H913" s="17" t="s">
        <v>182</v>
      </c>
      <c r="I913" s="93" t="str">
        <f>IF(OR(F913=152,F913=162,F913=510),IF((OR(LEFT(RIGHT(E913,13),1)={"A","D","E","F","G","I","L","N","P","R","S","T","V"})),"Ф",""),"")</f>
        <v/>
      </c>
    </row>
    <row r="914" spans="4:9" x14ac:dyDescent="0.3">
      <c r="D914" s="48" t="str">
        <f>CONCATENATE(УЧРЕЖДЕНИЯ!$A$4)</f>
        <v>Школа</v>
      </c>
      <c r="E914" s="92" t="s">
        <v>727</v>
      </c>
      <c r="F914" s="93">
        <v>226</v>
      </c>
      <c r="G914" s="93">
        <v>244</v>
      </c>
      <c r="H914" s="17" t="s">
        <v>182</v>
      </c>
      <c r="I914" s="93" t="str">
        <f>IF(OR(F914=152,F914=162,F914=510),IF((OR(LEFT(RIGHT(E914,13),1)={"A","D","E","F","G","I","L","N","P","R","S","T","V"})),"Ф",""),"")</f>
        <v/>
      </c>
    </row>
    <row r="915" spans="4:9" x14ac:dyDescent="0.3">
      <c r="D915" s="48" t="str">
        <f>CONCATENATE(УЧРЕЖДЕНИЯ!$A$4)</f>
        <v>Школа</v>
      </c>
      <c r="E915" s="92" t="s">
        <v>727</v>
      </c>
      <c r="F915" s="93">
        <v>342</v>
      </c>
      <c r="G915" s="93">
        <v>244</v>
      </c>
      <c r="H915" s="17" t="s">
        <v>182</v>
      </c>
      <c r="I915" s="93" t="str">
        <f>IF(OR(F915=152,F915=162,F915=510),IF((OR(LEFT(RIGHT(E915,13),1)={"A","D","E","F","G","I","L","N","P","R","S","T","V"})),"Ф",""),"")</f>
        <v/>
      </c>
    </row>
    <row r="916" spans="4:9" x14ac:dyDescent="0.3">
      <c r="D916" s="48" t="str">
        <f>CONCATENATE(УЧРЕЖДЕНИЯ!$A$4)</f>
        <v>Школа</v>
      </c>
      <c r="E916" s="92" t="s">
        <v>728</v>
      </c>
      <c r="F916" s="93">
        <v>152</v>
      </c>
      <c r="G916" s="93">
        <v>150</v>
      </c>
      <c r="H916" s="17" t="s">
        <v>182</v>
      </c>
      <c r="I916" s="93" t="str">
        <f>IF(OR(F916=152,F916=162,F916=510),IF((OR(LEFT(RIGHT(E916,13),1)={"A","D","E","F","G","I","L","N","P","R","S","T","V"})),"Ф",""),"")</f>
        <v/>
      </c>
    </row>
    <row r="917" spans="4:9" x14ac:dyDescent="0.3">
      <c r="D917" s="48" t="str">
        <f>CONCATENATE(УЧРЕЖДЕНИЯ!$A$4)</f>
        <v>Школа</v>
      </c>
      <c r="E917" s="92" t="s">
        <v>795</v>
      </c>
      <c r="F917" s="93">
        <v>211</v>
      </c>
      <c r="G917" s="93">
        <v>111</v>
      </c>
      <c r="H917" s="17" t="s">
        <v>182</v>
      </c>
      <c r="I917" s="93" t="str">
        <f>IF(OR(F917=152,F917=162,F917=510),IF((OR(LEFT(RIGHT(E917,13),1)={"A","D","E","F","G","I","L","N","P","R","S","T","V"})),"Ф",""),"")</f>
        <v/>
      </c>
    </row>
    <row r="918" spans="4:9" x14ac:dyDescent="0.3">
      <c r="D918" s="48" t="str">
        <f>CONCATENATE(УЧРЕЖДЕНИЯ!$A$4)</f>
        <v>Школа</v>
      </c>
      <c r="E918" s="92" t="s">
        <v>796</v>
      </c>
      <c r="F918" s="93">
        <v>213</v>
      </c>
      <c r="G918" s="93">
        <v>119</v>
      </c>
      <c r="H918" s="17" t="s">
        <v>182</v>
      </c>
      <c r="I918" s="93" t="str">
        <f>IF(OR(F918=152,F918=162,F918=510),IF((OR(LEFT(RIGHT(E918,13),1)={"A","D","E","F","G","I","L","N","P","R","S","T","V"})),"Ф",""),"")</f>
        <v/>
      </c>
    </row>
    <row r="919" spans="4:9" x14ac:dyDescent="0.3">
      <c r="D919" s="48" t="str">
        <f>CONCATENATE(УЧРЕЖДЕНИЯ!$A$4)</f>
        <v>Школа</v>
      </c>
      <c r="E919" s="92" t="s">
        <v>729</v>
      </c>
      <c r="F919" s="93">
        <v>226</v>
      </c>
      <c r="G919" s="93">
        <v>244</v>
      </c>
      <c r="H919" s="17" t="s">
        <v>182</v>
      </c>
      <c r="I919" s="93" t="str">
        <f>IF(OR(F919=152,F919=162,F919=510),IF((OR(LEFT(RIGHT(E919,13),1)={"A","D","E","F","G","I","L","N","P","R","S","T","V"})),"Ф",""),"")</f>
        <v/>
      </c>
    </row>
    <row r="920" spans="4:9" x14ac:dyDescent="0.3">
      <c r="D920" s="48" t="str">
        <f>CONCATENATE(УЧРЕЖДЕНИЯ!$A$4)</f>
        <v>Школа</v>
      </c>
      <c r="E920" s="92" t="s">
        <v>730</v>
      </c>
      <c r="F920" s="93">
        <v>152</v>
      </c>
      <c r="G920" s="93">
        <v>150</v>
      </c>
      <c r="H920" s="17" t="s">
        <v>182</v>
      </c>
      <c r="I920" s="93" t="str">
        <f>IF(OR(F920=152,F920=162,F920=510),IF((OR(LEFT(RIGHT(E920,13),1)={"A","D","E","F","G","I","L","N","P","R","S","T","V"})),"Ф",""),"")</f>
        <v/>
      </c>
    </row>
    <row r="921" spans="4:9" x14ac:dyDescent="0.3">
      <c r="D921" s="48" t="str">
        <f>CONCATENATE(УЧРЕЖДЕНИЯ!$A$4)</f>
        <v>Школа</v>
      </c>
      <c r="E921" s="92" t="s">
        <v>791</v>
      </c>
      <c r="F921" s="93">
        <v>226</v>
      </c>
      <c r="G921" s="93">
        <v>243</v>
      </c>
      <c r="H921" s="17" t="s">
        <v>182</v>
      </c>
      <c r="I921" s="93" t="str">
        <f>IF(OR(F921=152,F921=162,F921=510),IF((OR(LEFT(RIGHT(E921,13),1)={"A","D","E","F","G","I","L","N","P","R","S","T","V"})),"Ф",""),"")</f>
        <v/>
      </c>
    </row>
    <row r="922" spans="4:9" x14ac:dyDescent="0.3">
      <c r="D922" s="48" t="str">
        <f>CONCATENATE(УЧРЕЖДЕНИЯ!$A$4)</f>
        <v>Школа</v>
      </c>
      <c r="E922" s="92" t="s">
        <v>731</v>
      </c>
      <c r="F922" s="93">
        <v>225</v>
      </c>
      <c r="G922" s="93">
        <v>244</v>
      </c>
      <c r="H922" s="17" t="s">
        <v>182</v>
      </c>
      <c r="I922" s="93" t="str">
        <f>IF(OR(F922=152,F922=162,F922=510),IF((OR(LEFT(RIGHT(E922,13),1)={"A","D","E","F","G","I","L","N","P","R","S","T","V"})),"Ф",""),"")</f>
        <v/>
      </c>
    </row>
    <row r="923" spans="4:9" x14ac:dyDescent="0.3">
      <c r="D923" s="48" t="str">
        <f>CONCATENATE(УЧРЕЖДЕНИЯ!$A$4)</f>
        <v>Школа</v>
      </c>
      <c r="E923" s="92" t="s">
        <v>731</v>
      </c>
      <c r="F923" s="93">
        <v>226</v>
      </c>
      <c r="G923" s="93">
        <v>244</v>
      </c>
      <c r="H923" s="17" t="s">
        <v>182</v>
      </c>
      <c r="I923" s="93" t="str">
        <f>IF(OR(F923=152,F923=162,F923=510),IF((OR(LEFT(RIGHT(E923,13),1)={"A","D","E","F","G","I","L","N","P","R","S","T","V"})),"Ф",""),"")</f>
        <v/>
      </c>
    </row>
    <row r="924" spans="4:9" x14ac:dyDescent="0.3">
      <c r="D924" s="48" t="str">
        <f>CONCATENATE(УЧРЕЖДЕНИЯ!$A$4)</f>
        <v>Школа</v>
      </c>
      <c r="E924" s="92" t="s">
        <v>731</v>
      </c>
      <c r="F924" s="93">
        <v>310</v>
      </c>
      <c r="G924" s="93">
        <v>244</v>
      </c>
      <c r="H924" s="17" t="s">
        <v>182</v>
      </c>
      <c r="I924" s="93" t="str">
        <f>IF(OR(F924=152,F924=162,F924=510),IF((OR(LEFT(RIGHT(E924,13),1)={"A","D","E","F","G","I","L","N","P","R","S","T","V"})),"Ф",""),"")</f>
        <v/>
      </c>
    </row>
    <row r="925" spans="4:9" x14ac:dyDescent="0.3">
      <c r="D925" s="48" t="str">
        <f>CONCATENATE(УЧРЕЖДЕНИЯ!$A$4)</f>
        <v>Школа</v>
      </c>
      <c r="E925" s="92" t="s">
        <v>731</v>
      </c>
      <c r="F925" s="93">
        <v>346</v>
      </c>
      <c r="G925" s="93">
        <v>244</v>
      </c>
      <c r="H925" s="17" t="s">
        <v>182</v>
      </c>
      <c r="I925" s="93" t="str">
        <f>IF(OR(F925=152,F925=162,F925=510),IF((OR(LEFT(RIGHT(E925,13),1)={"A","D","E","F","G","I","L","N","P","R","S","T","V"})),"Ф",""),"")</f>
        <v/>
      </c>
    </row>
    <row r="926" spans="4:9" x14ac:dyDescent="0.3">
      <c r="D926" s="48" t="str">
        <f>CONCATENATE(УЧРЕЖДЕНИЯ!$A$4)</f>
        <v>Школа</v>
      </c>
      <c r="E926" s="228" t="s">
        <v>825</v>
      </c>
      <c r="F926" s="93">
        <v>152</v>
      </c>
      <c r="G926" s="93">
        <v>150</v>
      </c>
      <c r="H926" s="17" t="s">
        <v>182</v>
      </c>
      <c r="I926" s="93" t="str">
        <f>IF(OR(F926=152,F926=162,F926=510),IF((OR(LEFT(RIGHT(E926,13),1)={"A","D","E","F","G","I","L","N","P","R","S","T","V"})),"Ф",""),"")</f>
        <v/>
      </c>
    </row>
    <row r="927" spans="4:9" x14ac:dyDescent="0.3">
      <c r="D927" s="48" t="str">
        <f>CONCATENATE(УЧРЕЖДЕНИЯ!$A$4)</f>
        <v>Школа</v>
      </c>
      <c r="E927" s="228" t="s">
        <v>826</v>
      </c>
      <c r="F927" s="93">
        <v>225</v>
      </c>
      <c r="G927" s="93">
        <v>244</v>
      </c>
      <c r="H927" s="17" t="s">
        <v>182</v>
      </c>
      <c r="I927" s="93" t="str">
        <f>IF(OR(F927=152,F927=162,F927=510),IF((OR(LEFT(RIGHT(E927,13),1)={"A","D","E","F","G","I","L","N","P","R","S","T","V"})),"Ф",""),"")</f>
        <v/>
      </c>
    </row>
    <row r="928" spans="4:9" x14ac:dyDescent="0.3">
      <c r="D928" s="48" t="str">
        <f>CONCATENATE(УЧРЕЖДЕНИЯ!$A$4)</f>
        <v>Школа</v>
      </c>
      <c r="E928" s="228" t="s">
        <v>826</v>
      </c>
      <c r="F928" s="93">
        <v>226</v>
      </c>
      <c r="G928" s="93">
        <v>244</v>
      </c>
      <c r="H928" s="17" t="s">
        <v>182</v>
      </c>
      <c r="I928" s="93" t="str">
        <f>IF(OR(F928=152,F928=162,F928=510),IF((OR(LEFT(RIGHT(E928,13),1)={"A","D","E","F","G","I","L","N","P","R","S","T","V"})),"Ф",""),"")</f>
        <v/>
      </c>
    </row>
    <row r="929" spans="4:9" x14ac:dyDescent="0.3">
      <c r="D929" s="48" t="str">
        <f>CONCATENATE(УЧРЕЖДЕНИЯ!$A$4)</f>
        <v>Школа</v>
      </c>
      <c r="E929" s="228" t="s">
        <v>826</v>
      </c>
      <c r="F929" s="93">
        <v>310</v>
      </c>
      <c r="G929" s="93">
        <v>244</v>
      </c>
      <c r="H929" s="17" t="s">
        <v>182</v>
      </c>
      <c r="I929" s="93" t="str">
        <f>IF(OR(F929=152,F929=162,F929=510),IF((OR(LEFT(RIGHT(E929,13),1)={"A","D","E","F","G","I","L","N","P","R","S","T","V"})),"Ф",""),"")</f>
        <v/>
      </c>
    </row>
    <row r="930" spans="4:9" x14ac:dyDescent="0.3">
      <c r="D930" s="48" t="str">
        <f>CONCATENATE(УЧРЕЖДЕНИЯ!$A$4)</f>
        <v>Школа</v>
      </c>
      <c r="E930" s="228" t="s">
        <v>826</v>
      </c>
      <c r="F930" s="93">
        <v>346</v>
      </c>
      <c r="G930" s="93">
        <v>244</v>
      </c>
      <c r="H930" s="17" t="s">
        <v>182</v>
      </c>
      <c r="I930" s="93" t="str">
        <f>IF(OR(F930=152,F930=162,F930=510),IF((OR(LEFT(RIGHT(E930,13),1)={"A","D","E","F","G","I","L","N","P","R","S","T","V"})),"Ф",""),"")</f>
        <v/>
      </c>
    </row>
    <row r="931" spans="4:9" x14ac:dyDescent="0.3">
      <c r="D931" s="48" t="str">
        <f>CONCATENATE(УЧРЕЖДЕНИЯ!$A$4)</f>
        <v>Школа</v>
      </c>
      <c r="E931" s="92" t="s">
        <v>732</v>
      </c>
      <c r="F931" s="93">
        <v>152</v>
      </c>
      <c r="G931" s="93">
        <v>150</v>
      </c>
      <c r="H931" s="17" t="s">
        <v>182</v>
      </c>
      <c r="I931" s="93" t="str">
        <f>IF(OR(F931=152,F931=162,F931=510),IF((OR(LEFT(RIGHT(E931,13),1)={"A","D","E","F","G","I","L","N","P","R","S","T","V"})),"Ф",""),"")</f>
        <v/>
      </c>
    </row>
    <row r="932" spans="4:9" x14ac:dyDescent="0.3">
      <c r="D932" s="48" t="str">
        <f>CONCATENATE(УЧРЕЖДЕНИЯ!$A$4)</f>
        <v>Школа</v>
      </c>
      <c r="E932" s="92" t="s">
        <v>733</v>
      </c>
      <c r="F932" s="93">
        <v>225</v>
      </c>
      <c r="G932" s="93">
        <v>243</v>
      </c>
      <c r="H932" s="17" t="s">
        <v>182</v>
      </c>
      <c r="I932" s="93" t="str">
        <f>IF(OR(F932=152,F932=162,F932=510),IF((OR(LEFT(RIGHT(E932,13),1)={"A","D","E","F","G","I","L","N","P","R","S","T","V"})),"Ф",""),"")</f>
        <v/>
      </c>
    </row>
    <row r="933" spans="4:9" x14ac:dyDescent="0.3">
      <c r="D933" s="48" t="str">
        <f>CONCATENATE(УЧРЕЖДЕНИЯ!$A$4)</f>
        <v>Школа</v>
      </c>
      <c r="E933" s="92" t="s">
        <v>788</v>
      </c>
      <c r="F933" s="93">
        <v>510</v>
      </c>
      <c r="G933" s="93">
        <v>510</v>
      </c>
      <c r="H933" s="17" t="s">
        <v>182</v>
      </c>
      <c r="I933" s="93" t="str">
        <f>IF(OR(F933=152,F933=162,F933=510),IF((OR(LEFT(RIGHT(E933,13),1)={"A","D","E","F","G","I","L","N","P","R","S","T","V"})),"Ф",""),"")</f>
        <v>Ф</v>
      </c>
    </row>
    <row r="934" spans="4:9" x14ac:dyDescent="0.3">
      <c r="D934" s="48" t="str">
        <f>CONCATENATE(УЧРЕЖДЕНИЯ!$A$4)</f>
        <v>Школа</v>
      </c>
      <c r="E934" s="92" t="s">
        <v>789</v>
      </c>
      <c r="F934" s="93">
        <v>226</v>
      </c>
      <c r="G934" s="93">
        <v>244</v>
      </c>
      <c r="H934" s="17" t="s">
        <v>182</v>
      </c>
      <c r="I934" s="93" t="str">
        <f>IF(OR(F934=152,F934=162,F934=510),IF((OR(LEFT(RIGHT(E934,13),1)={"A","D","E","F","G","I","L","N","P","R","S","T","V"})),"Ф",""),"")</f>
        <v/>
      </c>
    </row>
    <row r="935" spans="4:9" x14ac:dyDescent="0.3">
      <c r="D935" s="48" t="str">
        <f>CONCATENATE(УЧРЕЖДЕНИЯ!$A$4)</f>
        <v>Школа</v>
      </c>
      <c r="E935" s="92" t="s">
        <v>789</v>
      </c>
      <c r="F935" s="93">
        <v>346</v>
      </c>
      <c r="G935" s="93">
        <v>244</v>
      </c>
      <c r="H935" s="17" t="s">
        <v>182</v>
      </c>
      <c r="I935" s="93" t="str">
        <f>IF(OR(F935=152,F935=162,F935=510),IF((OR(LEFT(RIGHT(E935,13),1)={"A","D","E","F","G","I","L","N","P","R","S","T","V"})),"Ф",""),"")</f>
        <v/>
      </c>
    </row>
    <row r="936" spans="4:9" x14ac:dyDescent="0.3">
      <c r="D936" s="48" t="str">
        <f>CONCATENATE(УЧРЕЖДЕНИЯ!$A$4)</f>
        <v>Школа</v>
      </c>
      <c r="E936" s="92" t="s">
        <v>809</v>
      </c>
      <c r="F936" s="93">
        <v>152</v>
      </c>
      <c r="G936" s="93">
        <v>150</v>
      </c>
      <c r="H936" s="17" t="s">
        <v>182</v>
      </c>
      <c r="I936" s="93" t="str">
        <f>IF(OR(F936=152,F936=162,F936=510),IF((OR(LEFT(RIGHT(E936,13),1)={"A","D","E","F","G","I","L","N","P","R","S","T","V"})),"Ф",""),"")</f>
        <v>Ф</v>
      </c>
    </row>
    <row r="937" spans="4:9" x14ac:dyDescent="0.3">
      <c r="D937" s="48" t="str">
        <f>CONCATENATE(УЧРЕЖДЕНИЯ!$A$4)</f>
        <v>Школа</v>
      </c>
      <c r="E937" s="92" t="s">
        <v>810</v>
      </c>
      <c r="F937" s="93">
        <v>211</v>
      </c>
      <c r="G937" s="93">
        <v>111</v>
      </c>
      <c r="H937" s="17" t="s">
        <v>182</v>
      </c>
      <c r="I937" s="93" t="str">
        <f>IF(OR(F937=152,F937=162,F937=510),IF((OR(LEFT(RIGHT(E937,13),1)={"A","D","E","F","G","I","L","N","P","R","S","T","V"})),"Ф",""),"")</f>
        <v/>
      </c>
    </row>
    <row r="938" spans="4:9" x14ac:dyDescent="0.3">
      <c r="D938" s="48" t="str">
        <f>CONCATENATE(УЧРЕЖДЕНИЯ!$A$4)</f>
        <v>Школа</v>
      </c>
      <c r="E938" s="92" t="s">
        <v>811</v>
      </c>
      <c r="F938" s="93">
        <v>213</v>
      </c>
      <c r="G938" s="93">
        <v>119</v>
      </c>
      <c r="H938" s="17" t="s">
        <v>182</v>
      </c>
      <c r="I938" s="93" t="str">
        <f>IF(OR(F938=152,F938=162,F938=510),IF((OR(LEFT(RIGHT(E938,13),1)={"A","D","E","F","G","I","L","N","P","R","S","T","V"})),"Ф",""),"")</f>
        <v/>
      </c>
    </row>
    <row r="939" spans="4:9" x14ac:dyDescent="0.3">
      <c r="D939" s="48" t="str">
        <f>CONCATENATE(УЧРЕЖДЕНИЯ!$A$4)</f>
        <v>Школа</v>
      </c>
      <c r="E939" s="92" t="s">
        <v>815</v>
      </c>
      <c r="F939" s="93">
        <v>225</v>
      </c>
      <c r="G939" s="93">
        <v>244</v>
      </c>
      <c r="H939" s="17" t="s">
        <v>182</v>
      </c>
      <c r="I939" s="93" t="str">
        <f>IF(OR(F939=152,F939=162,F939=510),IF((OR(LEFT(RIGHT(E939,13),1)={"A","D","E","F","G","I","L","N","P","R","S","T","V"})),"Ф",""),"")</f>
        <v/>
      </c>
    </row>
    <row r="940" spans="4:9" x14ac:dyDescent="0.3">
      <c r="D940" s="48" t="str">
        <f>CONCATENATE(УЧРЕЖДЕНИЯ!$A$4)</f>
        <v>Школа</v>
      </c>
      <c r="E940" s="92" t="s">
        <v>815</v>
      </c>
      <c r="F940" s="93">
        <v>226</v>
      </c>
      <c r="G940" s="93">
        <v>244</v>
      </c>
      <c r="H940" s="17" t="s">
        <v>182</v>
      </c>
      <c r="I940" s="93" t="str">
        <f>IF(OR(F940=152,F940=162,F940=510),IF((OR(LEFT(RIGHT(E940,13),1)={"A","D","E","F","G","I","L","N","P","R","S","T","V"})),"Ф",""),"")</f>
        <v/>
      </c>
    </row>
    <row r="941" spans="4:9" x14ac:dyDescent="0.3">
      <c r="D941" s="48" t="str">
        <f>CONCATENATE(УЧРЕЖДЕНИЯ!$A$4)</f>
        <v>Школа</v>
      </c>
      <c r="E941" s="92" t="s">
        <v>815</v>
      </c>
      <c r="F941" s="93">
        <v>310</v>
      </c>
      <c r="G941" s="93">
        <v>244</v>
      </c>
      <c r="H941" s="17" t="s">
        <v>182</v>
      </c>
      <c r="I941" s="93" t="str">
        <f>IF(OR(F941=152,F941=162,F941=510),IF((OR(LEFT(RIGHT(E941,13),1)={"A","D","E","F","G","I","L","N","P","R","S","T","V"})),"Ф",""),"")</f>
        <v/>
      </c>
    </row>
    <row r="942" spans="4:9" x14ac:dyDescent="0.3">
      <c r="D942" s="48" t="str">
        <f>CONCATENATE(УЧРЕЖДЕНИЯ!$A$4)</f>
        <v>Школа</v>
      </c>
      <c r="E942" s="92" t="s">
        <v>815</v>
      </c>
      <c r="F942" s="93">
        <v>346</v>
      </c>
      <c r="G942" s="93">
        <v>244</v>
      </c>
      <c r="H942" s="17" t="s">
        <v>182</v>
      </c>
      <c r="I942" s="93" t="str">
        <f>IF(OR(F942=152,F942=162,F942=510),IF((OR(LEFT(RIGHT(E942,13),1)={"A","D","E","F","G","I","L","N","P","R","S","T","V"})),"Ф",""),"")</f>
        <v/>
      </c>
    </row>
    <row r="943" spans="4:9" x14ac:dyDescent="0.3">
      <c r="D943" s="48" t="str">
        <f>CONCATENATE(УЧРЕЖДЕНИЯ!$A$4)</f>
        <v>Школа</v>
      </c>
      <c r="E943" s="92" t="s">
        <v>720</v>
      </c>
      <c r="F943" s="93">
        <v>152</v>
      </c>
      <c r="G943" s="93">
        <v>150</v>
      </c>
      <c r="H943" s="17" t="s">
        <v>719</v>
      </c>
      <c r="I943" s="93" t="str">
        <f>IF(OR(F943=152,F943=162,F943=510),IF((OR(LEFT(RIGHT(E943,13),1)={"A","D","E","F","G","I","L","N","P","R","S","T","V"})),"Ф",""),"")</f>
        <v/>
      </c>
    </row>
    <row r="944" spans="4:9" x14ac:dyDescent="0.3">
      <c r="D944" s="48" t="str">
        <f>CONCATENATE(УЧРЕЖДЕНИЯ!$A$4)</f>
        <v>Школа</v>
      </c>
      <c r="E944" s="92" t="s">
        <v>721</v>
      </c>
      <c r="F944" s="93">
        <v>226</v>
      </c>
      <c r="G944" s="93">
        <v>244</v>
      </c>
      <c r="H944" s="17" t="s">
        <v>719</v>
      </c>
      <c r="I944" s="93" t="str">
        <f>IF(OR(F944=152,F944=162,F944=510),IF((OR(LEFT(RIGHT(E944,13),1)={"A","D","E","F","G","I","L","N","P","R","S","T","V"})),"Ф",""),"")</f>
        <v/>
      </c>
    </row>
    <row r="945" spans="4:9" x14ac:dyDescent="0.3">
      <c r="D945" s="48" t="str">
        <f>CONCATENATE(УЧРЕЖДЕНИЯ!$A$4)</f>
        <v>Школа</v>
      </c>
      <c r="E945" s="92" t="s">
        <v>721</v>
      </c>
      <c r="F945" s="93">
        <v>227</v>
      </c>
      <c r="G945" s="93">
        <v>244</v>
      </c>
      <c r="H945" s="17" t="s">
        <v>719</v>
      </c>
      <c r="I945" s="93" t="str">
        <f>IF(OR(F945=152,F945=162,F945=510),IF((OR(LEFT(RIGHT(E945,13),1)={"A","D","E","F","G","I","L","N","P","R","S","T","V"})),"Ф",""),"")</f>
        <v/>
      </c>
    </row>
    <row r="946" spans="4:9" x14ac:dyDescent="0.3">
      <c r="D946" s="48" t="str">
        <f>CONCATENATE(УЧРЕЖДЕНИЯ!$A$4)</f>
        <v>Школа</v>
      </c>
      <c r="E946" s="92" t="s">
        <v>721</v>
      </c>
      <c r="F946" s="93">
        <v>341</v>
      </c>
      <c r="G946" s="93">
        <v>244</v>
      </c>
      <c r="H946" s="17" t="s">
        <v>719</v>
      </c>
      <c r="I946" s="93" t="str">
        <f>IF(OR(F946=152,F946=162,F946=510),IF((OR(LEFT(RIGHT(E946,13),1)={"A","D","E","F","G","I","L","N","P","R","S","T","V"})),"Ф",""),"")</f>
        <v/>
      </c>
    </row>
    <row r="947" spans="4:9" x14ac:dyDescent="0.3">
      <c r="D947" s="48" t="str">
        <f>CONCATENATE(УЧРЕЖДЕНИЯ!$A$4)</f>
        <v>Школа</v>
      </c>
      <c r="E947" s="92" t="s">
        <v>721</v>
      </c>
      <c r="F947" s="93">
        <v>342</v>
      </c>
      <c r="G947" s="93">
        <v>244</v>
      </c>
      <c r="H947" s="17" t="s">
        <v>719</v>
      </c>
      <c r="I947" s="93" t="str">
        <f>IF(OR(F947=152,F947=162,F947=510),IF((OR(LEFT(RIGHT(E947,13),1)={"A","D","E","F","G","I","L","N","P","R","S","T","V"})),"Ф",""),"")</f>
        <v/>
      </c>
    </row>
    <row r="948" spans="4:9" x14ac:dyDescent="0.3">
      <c r="D948" s="48" t="str">
        <f>CONCATENATE(УЧРЕЖДЕНИЯ!$A$4)</f>
        <v>Школа</v>
      </c>
      <c r="E948" s="92" t="s">
        <v>721</v>
      </c>
      <c r="F948" s="93">
        <v>346</v>
      </c>
      <c r="G948" s="93">
        <v>244</v>
      </c>
      <c r="H948" s="17" t="s">
        <v>719</v>
      </c>
      <c r="I948" s="93" t="str">
        <f>IF(OR(F948=152,F948=162,F948=510),IF((OR(LEFT(RIGHT(E948,13),1)={"A","D","E","F","G","I","L","N","P","R","S","T","V"})),"Ф",""),"")</f>
        <v/>
      </c>
    </row>
    <row r="949" spans="4:9" x14ac:dyDescent="0.3">
      <c r="D949" s="48" t="str">
        <f>CONCATENATE(УЧРЕЖДЕНИЯ!$A$4)</f>
        <v>Школа</v>
      </c>
      <c r="E949" s="92" t="s">
        <v>721</v>
      </c>
      <c r="F949" s="93">
        <v>349</v>
      </c>
      <c r="G949" s="93">
        <v>244</v>
      </c>
      <c r="H949" s="17" t="s">
        <v>719</v>
      </c>
      <c r="I949" s="93" t="str">
        <f>IF(OR(F949=152,F949=162,F949=510),IF((OR(LEFT(RIGHT(E949,13),1)={"A","D","E","F","G","I","L","N","P","R","S","T","V"})),"Ф",""),"")</f>
        <v/>
      </c>
    </row>
    <row r="950" spans="4:9" x14ac:dyDescent="0.3">
      <c r="D950" s="48" t="str">
        <f>CONCATENATE(УЧРЕЖДЕНИЯ!$A$4)</f>
        <v>Школа</v>
      </c>
      <c r="E950" s="92" t="s">
        <v>833</v>
      </c>
      <c r="F950" s="93">
        <v>152</v>
      </c>
      <c r="G950" s="93">
        <v>150</v>
      </c>
      <c r="H950" s="17" t="s">
        <v>719</v>
      </c>
      <c r="I950" s="93" t="str">
        <f>IF(OR(F950=152,F950=162,F950=510),IF((OR(LEFT(RIGHT(E950,13),1)={"A","D","E","F","G","I","L","N","P","R","S","T","V"})),"Ф",""),"")</f>
        <v/>
      </c>
    </row>
    <row r="951" spans="4:9" x14ac:dyDescent="0.3">
      <c r="D951" s="48" t="str">
        <f>CONCATENATE(УЧРЕЖДЕНИЯ!$A$4)</f>
        <v>Школа</v>
      </c>
      <c r="E951" s="92" t="s">
        <v>836</v>
      </c>
      <c r="F951" s="93">
        <v>226</v>
      </c>
      <c r="G951" s="93">
        <v>244</v>
      </c>
      <c r="H951" s="17" t="s">
        <v>719</v>
      </c>
      <c r="I951" s="93" t="str">
        <f>IF(OR(F951=152,F951=162,F951=510),IF((OR(LEFT(RIGHT(E951,13),1)={"A","D","E","F","G","I","L","N","P","R","S","T","V"})),"Ф",""),"")</f>
        <v/>
      </c>
    </row>
    <row r="952" spans="4:9" x14ac:dyDescent="0.3">
      <c r="D952" s="48" t="str">
        <f>CONCATENATE(УЧРЕЖДЕНИЯ!$A$4)</f>
        <v>Школа</v>
      </c>
      <c r="E952" s="92" t="s">
        <v>836</v>
      </c>
      <c r="F952" s="93">
        <v>227</v>
      </c>
      <c r="G952" s="93">
        <v>244</v>
      </c>
      <c r="H952" s="17" t="s">
        <v>719</v>
      </c>
      <c r="I952" s="93" t="str">
        <f>IF(OR(F952=152,F952=162,F952=510),IF((OR(LEFT(RIGHT(E952,13),1)={"A","D","E","F","G","I","L","N","P","R","S","T","V"})),"Ф",""),"")</f>
        <v/>
      </c>
    </row>
    <row r="953" spans="4:9" x14ac:dyDescent="0.3">
      <c r="D953" s="48" t="str">
        <f>CONCATENATE(УЧРЕЖДЕНИЯ!$A$4)</f>
        <v>Школа</v>
      </c>
      <c r="E953" s="92" t="s">
        <v>836</v>
      </c>
      <c r="F953" s="93">
        <v>341</v>
      </c>
      <c r="G953" s="93">
        <v>244</v>
      </c>
      <c r="H953" s="17" t="s">
        <v>719</v>
      </c>
      <c r="I953" s="93" t="str">
        <f>IF(OR(F953=152,F953=162,F953=510),IF((OR(LEFT(RIGHT(E953,13),1)={"A","D","E","F","G","I","L","N","P","R","S","T","V"})),"Ф",""),"")</f>
        <v/>
      </c>
    </row>
    <row r="954" spans="4:9" x14ac:dyDescent="0.3">
      <c r="D954" s="48" t="str">
        <f>CONCATENATE(УЧРЕЖДЕНИЯ!$A$4)</f>
        <v>Школа</v>
      </c>
      <c r="E954" s="92" t="s">
        <v>836</v>
      </c>
      <c r="F954" s="93">
        <v>346</v>
      </c>
      <c r="G954" s="93">
        <v>244</v>
      </c>
      <c r="H954" s="17" t="s">
        <v>719</v>
      </c>
      <c r="I954" s="93" t="str">
        <f>IF(OR(F954=152,F954=162,F954=510),IF((OR(LEFT(RIGHT(E954,13),1)={"A","D","E","F","G","I","L","N","P","R","S","T","V"})),"Ф",""),"")</f>
        <v/>
      </c>
    </row>
    <row r="955" spans="4:9" x14ac:dyDescent="0.3">
      <c r="D955" s="48" t="str">
        <f>CONCATENATE(УЧРЕЖДЕНИЯ!$A$4)</f>
        <v>Школа</v>
      </c>
      <c r="E955" s="92" t="s">
        <v>836</v>
      </c>
      <c r="F955" s="93">
        <v>349</v>
      </c>
      <c r="G955" s="93">
        <v>244</v>
      </c>
      <c r="H955" s="17" t="s">
        <v>719</v>
      </c>
      <c r="I955" s="93" t="str">
        <f>IF(OR(F955=152,F955=162,F955=510),IF((OR(LEFT(RIGHT(E955,13),1)={"A","D","E","F","G","I","L","N","P","R","S","T","V"})),"Ф",""),"")</f>
        <v/>
      </c>
    </row>
    <row r="956" spans="4:9" x14ac:dyDescent="0.3">
      <c r="D956" s="48" t="str">
        <f>CONCATENATE(УЧРЕЖДЕНИЯ!$A$4)</f>
        <v>Школа</v>
      </c>
      <c r="E956" s="92" t="s">
        <v>834</v>
      </c>
      <c r="F956" s="93">
        <v>152</v>
      </c>
      <c r="G956" s="93">
        <v>150</v>
      </c>
      <c r="H956" s="17" t="s">
        <v>835</v>
      </c>
      <c r="I956" s="93" t="str">
        <f>IF(OR(F956=152,F956=162,F956=510),IF((OR(LEFT(RIGHT(E956,13),1)={"A","D","E","F","G","I","L","N","P","R","S","T","V"})),"Ф",""),"")</f>
        <v/>
      </c>
    </row>
    <row r="957" spans="4:9" x14ac:dyDescent="0.3">
      <c r="D957" s="48" t="str">
        <f>CONCATENATE(УЧРЕЖДЕНИЯ!$A$4)</f>
        <v>Школа</v>
      </c>
      <c r="E957" s="92" t="s">
        <v>837</v>
      </c>
      <c r="F957" s="93">
        <v>226</v>
      </c>
      <c r="G957" s="93">
        <v>244</v>
      </c>
      <c r="H957" s="17" t="s">
        <v>835</v>
      </c>
      <c r="I957" s="93" t="str">
        <f>IF(OR(F957=152,F957=162,F957=510),IF((OR(LEFT(RIGHT(E957,13),1)={"A","D","E","F","G","I","L","N","P","R","S","T","V"})),"Ф",""),"")</f>
        <v/>
      </c>
    </row>
    <row r="958" spans="4:9" x14ac:dyDescent="0.3">
      <c r="D958" s="48" t="str">
        <f>CONCATENATE(УЧРЕЖДЕНИЯ!$A$4)</f>
        <v>Школа</v>
      </c>
      <c r="E958" s="92" t="s">
        <v>837</v>
      </c>
      <c r="F958" s="93">
        <v>227</v>
      </c>
      <c r="G958" s="93">
        <v>244</v>
      </c>
      <c r="H958" s="17" t="s">
        <v>835</v>
      </c>
      <c r="I958" s="93" t="str">
        <f>IF(OR(F958=152,F958=162,F958=510),IF((OR(LEFT(RIGHT(E958,13),1)={"A","D","E","F","G","I","L","N","P","R","S","T","V"})),"Ф",""),"")</f>
        <v/>
      </c>
    </row>
    <row r="959" spans="4:9" x14ac:dyDescent="0.3">
      <c r="D959" s="48" t="str">
        <f>CONCATENATE(УЧРЕЖДЕНИЯ!$A$4)</f>
        <v>Школа</v>
      </c>
      <c r="E959" s="92" t="s">
        <v>837</v>
      </c>
      <c r="F959" s="93">
        <v>341</v>
      </c>
      <c r="G959" s="93">
        <v>244</v>
      </c>
      <c r="H959" s="17" t="s">
        <v>835</v>
      </c>
      <c r="I959" s="93" t="str">
        <f>IF(OR(F959=152,F959=162,F959=510),IF((OR(LEFT(RIGHT(E959,13),1)={"A","D","E","F","G","I","L","N","P","R","S","T","V"})),"Ф",""),"")</f>
        <v/>
      </c>
    </row>
    <row r="960" spans="4:9" x14ac:dyDescent="0.3">
      <c r="D960" s="48" t="str">
        <f>CONCATENATE(УЧРЕЖДЕНИЯ!$A$4)</f>
        <v>Школа</v>
      </c>
      <c r="E960" s="92" t="s">
        <v>837</v>
      </c>
      <c r="F960" s="93">
        <v>346</v>
      </c>
      <c r="G960" s="93">
        <v>244</v>
      </c>
      <c r="H960" s="17" t="s">
        <v>835</v>
      </c>
      <c r="I960" s="93" t="str">
        <f>IF(OR(F960=152,F960=162,F960=510),IF((OR(LEFT(RIGHT(E960,13),1)={"A","D","E","F","G","I","L","N","P","R","S","T","V"})),"Ф",""),"")</f>
        <v/>
      </c>
    </row>
    <row r="961" spans="4:9" x14ac:dyDescent="0.3">
      <c r="D961" s="48" t="str">
        <f>CONCATENATE(УЧРЕЖДЕНИЯ!$A$4)</f>
        <v>Школа</v>
      </c>
      <c r="E961" s="92" t="s">
        <v>837</v>
      </c>
      <c r="F961" s="93">
        <v>349</v>
      </c>
      <c r="G961" s="93">
        <v>244</v>
      </c>
      <c r="H961" s="17" t="s">
        <v>835</v>
      </c>
      <c r="I961" s="93" t="str">
        <f>IF(OR(F961=152,F961=162,F961=510),IF((OR(LEFT(RIGHT(E961,13),1)={"A","D","E","F","G","I","L","N","P","R","S","T","V"})),"Ф",""),"")</f>
        <v/>
      </c>
    </row>
    <row r="962" spans="4:9" x14ac:dyDescent="0.3">
      <c r="D962" s="48" t="str">
        <f>CONCATENATE(УЧРЕЖДЕНИЯ!$A$4)</f>
        <v>Школа</v>
      </c>
      <c r="E962" s="92" t="s">
        <v>838</v>
      </c>
      <c r="F962" s="93">
        <v>152</v>
      </c>
      <c r="G962" s="93">
        <v>150</v>
      </c>
      <c r="H962" s="17" t="s">
        <v>719</v>
      </c>
      <c r="I962" s="93" t="str">
        <f>IF(OR(F962=152,F962=162,F962=510),IF((OR(LEFT(RIGHT(E962,13),1)={"A","D","E","F","G","I","L","N","P","R","S","T","V"})),"Ф",""),"")</f>
        <v/>
      </c>
    </row>
    <row r="963" spans="4:9" x14ac:dyDescent="0.3">
      <c r="D963" s="48" t="str">
        <f>CONCATENATE(УЧРЕЖДЕНИЯ!$A$4)</f>
        <v>Школа</v>
      </c>
      <c r="E963" s="92" t="s">
        <v>839</v>
      </c>
      <c r="F963" s="93">
        <v>226</v>
      </c>
      <c r="G963" s="93">
        <v>244</v>
      </c>
      <c r="H963" s="17" t="s">
        <v>719</v>
      </c>
      <c r="I963" s="93" t="str">
        <f>IF(OR(F963=152,F963=162,F963=510),IF((OR(LEFT(RIGHT(E963,13),1)={"A","D","E","F","G","I","L","N","P","R","S","T","V"})),"Ф",""),"")</f>
        <v/>
      </c>
    </row>
    <row r="964" spans="4:9" x14ac:dyDescent="0.3">
      <c r="D964" s="48" t="str">
        <f>CONCATENATE(УЧРЕЖДЕНИЯ!$A$4)</f>
        <v>Школа</v>
      </c>
      <c r="E964" s="92" t="s">
        <v>839</v>
      </c>
      <c r="F964" s="93">
        <v>227</v>
      </c>
      <c r="G964" s="93">
        <v>244</v>
      </c>
      <c r="H964" s="17" t="s">
        <v>719</v>
      </c>
      <c r="I964" s="93" t="str">
        <f>IF(OR(F964=152,F964=162,F964=510),IF((OR(LEFT(RIGHT(E964,13),1)={"A","D","E","F","G","I","L","N","P","R","S","T","V"})),"Ф",""),"")</f>
        <v/>
      </c>
    </row>
    <row r="965" spans="4:9" x14ac:dyDescent="0.3">
      <c r="D965" s="48" t="str">
        <f>CONCATENATE(УЧРЕЖДЕНИЯ!$A$4)</f>
        <v>Школа</v>
      </c>
      <c r="E965" s="92" t="s">
        <v>839</v>
      </c>
      <c r="F965" s="93">
        <v>341</v>
      </c>
      <c r="G965" s="93">
        <v>244</v>
      </c>
      <c r="H965" s="17" t="s">
        <v>719</v>
      </c>
      <c r="I965" s="93" t="str">
        <f>IF(OR(F965=152,F965=162,F965=510),IF((OR(LEFT(RIGHT(E965,13),1)={"A","D","E","F","G","I","L","N","P","R","S","T","V"})),"Ф",""),"")</f>
        <v/>
      </c>
    </row>
    <row r="966" spans="4:9" x14ac:dyDescent="0.3">
      <c r="D966" s="48" t="str">
        <f>CONCATENATE(УЧРЕЖДЕНИЯ!$A$4)</f>
        <v>Школа</v>
      </c>
      <c r="E966" s="92" t="s">
        <v>839</v>
      </c>
      <c r="F966" s="93">
        <v>342</v>
      </c>
      <c r="G966" s="93">
        <v>244</v>
      </c>
      <c r="H966" s="17" t="s">
        <v>719</v>
      </c>
      <c r="I966" s="93" t="str">
        <f>IF(OR(F966=152,F966=162,F966=510),IF((OR(LEFT(RIGHT(E966,13),1)={"A","D","E","F","G","I","L","N","P","R","S","T","V"})),"Ф",""),"")</f>
        <v/>
      </c>
    </row>
    <row r="967" spans="4:9" x14ac:dyDescent="0.3">
      <c r="D967" s="48" t="str">
        <f>CONCATENATE(УЧРЕЖДЕНИЯ!$A$4)</f>
        <v>Школа</v>
      </c>
      <c r="E967" s="92" t="s">
        <v>821</v>
      </c>
      <c r="F967" s="93">
        <v>152</v>
      </c>
      <c r="G967" s="93">
        <v>150</v>
      </c>
      <c r="H967" s="17" t="s">
        <v>182</v>
      </c>
      <c r="I967" s="93" t="str">
        <f>IF(OR(F967=152,F967=162,F967=510),IF((OR(LEFT(RIGHT(E967,13),1)={"A","D","E","F","G","I","L","N","P","R","S","T","V"})),"Ф",""),"")</f>
        <v/>
      </c>
    </row>
    <row r="968" spans="4:9" x14ac:dyDescent="0.3">
      <c r="D968" s="48" t="str">
        <f>CONCATENATE(УЧРЕЖДЕНИЯ!$A$4)</f>
        <v>Школа</v>
      </c>
      <c r="E968" s="92" t="s">
        <v>822</v>
      </c>
      <c r="F968" s="93">
        <v>226</v>
      </c>
      <c r="G968" s="93">
        <v>244</v>
      </c>
      <c r="H968" s="17" t="s">
        <v>182</v>
      </c>
      <c r="I968" s="93" t="str">
        <f>IF(OR(F968=152,F968=162,F968=510),IF((OR(LEFT(RIGHT(E968,13),1)={"A","D","E","F","G","I","L","N","P","R","S","T","V"})),"Ф",""),"")</f>
        <v/>
      </c>
    </row>
    <row r="969" spans="4:9" x14ac:dyDescent="0.3">
      <c r="D969" s="48" t="str">
        <f>CONCATENATE(УЧРЕЖДЕНИЯ!$A$4)</f>
        <v>Школа</v>
      </c>
      <c r="E969" s="92" t="s">
        <v>822</v>
      </c>
      <c r="F969" s="93">
        <v>310</v>
      </c>
      <c r="G969" s="93">
        <v>244</v>
      </c>
      <c r="H969" s="17" t="s">
        <v>182</v>
      </c>
      <c r="I969" s="93" t="str">
        <f>IF(OR(F969=152,F969=162,F969=510),IF((OR(LEFT(RIGHT(E969,13),1)={"A","D","E","F","G","I","L","N","P","R","S","T","V"})),"Ф",""),"")</f>
        <v/>
      </c>
    </row>
    <row r="970" spans="4:9" x14ac:dyDescent="0.3">
      <c r="D970" s="48" t="str">
        <f>CONCATENATE(УЧРЕЖДЕНИЯ!$A$4)</f>
        <v>Школа</v>
      </c>
      <c r="E970" s="92" t="s">
        <v>915</v>
      </c>
      <c r="F970" s="93">
        <v>152</v>
      </c>
      <c r="G970" s="93">
        <v>150</v>
      </c>
      <c r="H970" s="17" t="s">
        <v>182</v>
      </c>
      <c r="I970" s="93" t="str">
        <f>IF(OR(F970=152,F970=162,F970=510),IF((OR(LEFT(RIGHT(E970,13),1)={"A","D","E","F","G","I","L","N","P","R","S","T","V"})),"Ф",""),"")</f>
        <v/>
      </c>
    </row>
    <row r="971" spans="4:9" x14ac:dyDescent="0.3">
      <c r="D971" s="48" t="str">
        <f>CONCATENATE(УЧРЕЖДЕНИЯ!$A$4)</f>
        <v>Школа</v>
      </c>
      <c r="E971" s="92" t="s">
        <v>916</v>
      </c>
      <c r="F971" s="93">
        <v>225</v>
      </c>
      <c r="G971" s="93">
        <v>244</v>
      </c>
      <c r="H971" s="17" t="s">
        <v>182</v>
      </c>
      <c r="I971" s="93" t="str">
        <f>IF(OR(F971=152,F971=162,F971=510),IF((OR(LEFT(RIGHT(E971,13),1)={"A","D","E","F","G","I","L","N","P","R","S","T","V"})),"Ф",""),"")</f>
        <v/>
      </c>
    </row>
    <row r="972" spans="4:9" x14ac:dyDescent="0.3">
      <c r="D972" s="48" t="str">
        <f>CONCATENATE(УЧРЕЖДЕНИЯ!$A$4)</f>
        <v>Школа</v>
      </c>
      <c r="E972" s="92" t="s">
        <v>916</v>
      </c>
      <c r="F972" s="93">
        <v>226</v>
      </c>
      <c r="G972" s="93">
        <v>244</v>
      </c>
      <c r="H972" s="17" t="s">
        <v>182</v>
      </c>
      <c r="I972" s="93" t="str">
        <f>IF(OR(F972=152,F972=162,F972=510),IF((OR(LEFT(RIGHT(E972,13),1)={"A","D","E","F","G","I","L","N","P","R","S","T","V"})),"Ф",""),"")</f>
        <v/>
      </c>
    </row>
    <row r="973" spans="4:9" x14ac:dyDescent="0.3">
      <c r="D973" s="48" t="str">
        <f>CONCATENATE(УЧРЕЖДЕНИЯ!$A$4)</f>
        <v>Школа</v>
      </c>
      <c r="E973" s="92" t="s">
        <v>916</v>
      </c>
      <c r="F973" s="93">
        <v>342</v>
      </c>
      <c r="G973" s="93">
        <v>244</v>
      </c>
      <c r="H973" s="17" t="s">
        <v>182</v>
      </c>
      <c r="I973" s="93" t="str">
        <f>IF(OR(F973=152,F973=162,F973=510),IF((OR(LEFT(RIGHT(E973,13),1)={"A","D","E","F","G","I","L","N","P","R","S","T","V"})),"Ф",""),"")</f>
        <v/>
      </c>
    </row>
    <row r="974" spans="4:9" x14ac:dyDescent="0.3">
      <c r="D974" s="48" t="str">
        <f>CONCATENATE(УЧРЕЖДЕНИЯ!$A$4)</f>
        <v>Школа</v>
      </c>
      <c r="E974" s="92" t="s">
        <v>829</v>
      </c>
      <c r="F974" s="93">
        <v>152</v>
      </c>
      <c r="G974" s="93">
        <v>150</v>
      </c>
      <c r="H974" s="17" t="s">
        <v>182</v>
      </c>
      <c r="I974" s="93" t="str">
        <f>IF(OR(F974=152,F974=162,F974=510),IF((OR(LEFT(RIGHT(E974,13),1)={"A","D","E","F","G","I","L","N","P","R","S","T","V"})),"Ф",""),"")</f>
        <v/>
      </c>
    </row>
    <row r="975" spans="4:9" x14ac:dyDescent="0.3">
      <c r="D975" s="48" t="str">
        <f>CONCATENATE(УЧРЕЖДЕНИЯ!$A$4)</f>
        <v>Школа</v>
      </c>
      <c r="E975" s="92" t="s">
        <v>830</v>
      </c>
      <c r="F975" s="93">
        <v>211</v>
      </c>
      <c r="G975" s="93">
        <v>111</v>
      </c>
      <c r="H975" s="17" t="s">
        <v>182</v>
      </c>
      <c r="I975" s="93" t="str">
        <f>IF(OR(F975=152,F975=162,F975=510),IF((OR(LEFT(RIGHT(E975,13),1)={"A","D","E","F","G","I","L","N","P","R","S","T","V"})),"Ф",""),"")</f>
        <v/>
      </c>
    </row>
    <row r="976" spans="4:9" x14ac:dyDescent="0.3">
      <c r="D976" s="48" t="str">
        <f>CONCATENATE(УЧРЕЖДЕНИЯ!$A$4)</f>
        <v>Школа</v>
      </c>
      <c r="E976" s="92" t="s">
        <v>831</v>
      </c>
      <c r="F976" s="93">
        <v>213</v>
      </c>
      <c r="G976" s="93">
        <v>119</v>
      </c>
      <c r="H976" s="17" t="s">
        <v>182</v>
      </c>
      <c r="I976" s="93" t="str">
        <f>IF(OR(F976=152,F976=162,F976=510),IF((OR(LEFT(RIGHT(E976,13),1)={"A","D","E","F","G","I","L","N","P","R","S","T","V"})),"Ф",""),"")</f>
        <v/>
      </c>
    </row>
    <row r="977" spans="3:9" x14ac:dyDescent="0.3">
      <c r="C977" s="48" t="s">
        <v>136</v>
      </c>
      <c r="D977" s="48" t="str">
        <f>CONCATENATE(УЧРЕЖДЕНИЯ!$A$5)</f>
        <v>Допобр</v>
      </c>
      <c r="E977" s="228" t="s">
        <v>846</v>
      </c>
      <c r="F977" s="93">
        <v>152</v>
      </c>
      <c r="G977" s="93">
        <v>150</v>
      </c>
      <c r="H977" s="17" t="s">
        <v>183</v>
      </c>
      <c r="I977" s="93" t="str">
        <f>IF(OR(F977=152,F977=162,F977=510),IF((OR(LEFT(RIGHT(E977,13),1)={"A","D","E","F","G","I","L","N","P","R","S","T","V"})),"Ф",""),"")</f>
        <v/>
      </c>
    </row>
    <row r="978" spans="3:9" x14ac:dyDescent="0.3">
      <c r="D978" s="48" t="str">
        <f>CONCATENATE(УЧРЕЖДЕНИЯ!$A$5)</f>
        <v>Допобр</v>
      </c>
      <c r="E978" s="228" t="s">
        <v>847</v>
      </c>
      <c r="F978" s="93">
        <v>226</v>
      </c>
      <c r="G978" s="93">
        <v>244</v>
      </c>
      <c r="H978" s="17" t="s">
        <v>183</v>
      </c>
      <c r="I978" s="93" t="str">
        <f>IF(OR(F978=152,F978=162,F978=510),IF((OR(LEFT(RIGHT(E978,13),1)={"A","D","E","F","G","I","L","N","P","R","S","T","V"})),"Ф",""),"")</f>
        <v/>
      </c>
    </row>
    <row r="979" spans="3:9" x14ac:dyDescent="0.3">
      <c r="D979" s="48" t="str">
        <f>CONCATENATE(УЧРЕЖДЕНИЯ!$A$5)</f>
        <v>Допобр</v>
      </c>
      <c r="E979" s="228" t="s">
        <v>847</v>
      </c>
      <c r="F979" s="93">
        <v>310</v>
      </c>
      <c r="G979" s="93">
        <v>244</v>
      </c>
      <c r="H979" s="17" t="s">
        <v>183</v>
      </c>
      <c r="I979" s="93" t="str">
        <f>IF(OR(F979=152,F979=162,F979=510),IF((OR(LEFT(RIGHT(E979,13),1)={"A","D","E","F","G","I","L","N","P","R","S","T","V"})),"Ф",""),"")</f>
        <v/>
      </c>
    </row>
    <row r="980" spans="3:9" x14ac:dyDescent="0.3">
      <c r="D980" s="48" t="str">
        <f>CONCATENATE(УЧРЕЖДЕНИЯ!$A$5)</f>
        <v>Допобр</v>
      </c>
      <c r="E980" s="228" t="s">
        <v>847</v>
      </c>
      <c r="F980" s="93">
        <v>346</v>
      </c>
      <c r="G980" s="93">
        <v>244</v>
      </c>
      <c r="H980" s="17" t="s">
        <v>183</v>
      </c>
      <c r="I980" s="93" t="str">
        <f>IF(OR(F980=152,F980=162,F980=510),IF((OR(LEFT(RIGHT(E980,13),1)={"A","D","E","F","G","I","L","N","P","R","S","T","V"})),"Ф",""),"")</f>
        <v/>
      </c>
    </row>
    <row r="981" spans="3:9" x14ac:dyDescent="0.3">
      <c r="D981" s="48" t="str">
        <f>CONCATENATE(УЧРЕЖДЕНИЯ!$A$5)</f>
        <v>Допобр</v>
      </c>
      <c r="E981" s="92" t="s">
        <v>720</v>
      </c>
      <c r="F981" s="93">
        <v>152</v>
      </c>
      <c r="G981" s="93">
        <v>150</v>
      </c>
      <c r="H981" s="17" t="s">
        <v>719</v>
      </c>
      <c r="I981" s="93" t="str">
        <f>IF(OR(F981=152,F981=162,F981=510),IF((OR(LEFT(RIGHT(E981,13),1)={"A","D","E","F","G","I","L","N","P","R","S","T","V"})),"Ф",""),"")</f>
        <v/>
      </c>
    </row>
    <row r="982" spans="3:9" x14ac:dyDescent="0.3">
      <c r="D982" s="48" t="str">
        <f>CONCATENATE(УЧРЕЖДЕНИЯ!$A$5)</f>
        <v>Допобр</v>
      </c>
      <c r="E982" s="92" t="s">
        <v>721</v>
      </c>
      <c r="F982" s="93">
        <v>226</v>
      </c>
      <c r="G982" s="93">
        <v>244</v>
      </c>
      <c r="H982" s="17" t="s">
        <v>719</v>
      </c>
      <c r="I982" s="93" t="str">
        <f>IF(OR(F982=152,F982=162,F982=510),IF((OR(LEFT(RIGHT(E982,13),1)={"A","D","E","F","G","I","L","N","P","R","S","T","V"})),"Ф",""),"")</f>
        <v/>
      </c>
    </row>
    <row r="983" spans="3:9" x14ac:dyDescent="0.3">
      <c r="D983" s="48" t="str">
        <f>CONCATENATE(УЧРЕЖДЕНИЯ!$A$5)</f>
        <v>Допобр</v>
      </c>
      <c r="E983" s="92" t="s">
        <v>721</v>
      </c>
      <c r="F983" s="93">
        <v>227</v>
      </c>
      <c r="G983" s="93">
        <v>244</v>
      </c>
      <c r="H983" s="17" t="s">
        <v>719</v>
      </c>
      <c r="I983" s="93" t="str">
        <f>IF(OR(F983=152,F983=162,F983=510),IF((OR(LEFT(RIGHT(E983,13),1)={"A","D","E","F","G","I","L","N","P","R","S","T","V"})),"Ф",""),"")</f>
        <v/>
      </c>
    </row>
    <row r="984" spans="3:9" x14ac:dyDescent="0.3">
      <c r="D984" s="48" t="str">
        <f>CONCATENATE(УЧРЕЖДЕНИЯ!$A$5)</f>
        <v>Допобр</v>
      </c>
      <c r="E984" s="92" t="s">
        <v>721</v>
      </c>
      <c r="F984" s="93">
        <v>341</v>
      </c>
      <c r="G984" s="93">
        <v>244</v>
      </c>
      <c r="H984" s="17" t="s">
        <v>719</v>
      </c>
      <c r="I984" s="93" t="str">
        <f>IF(OR(F984=152,F984=162,F984=510),IF((OR(LEFT(RIGHT(E984,13),1)={"A","D","E","F","G","I","L","N","P","R","S","T","V"})),"Ф",""),"")</f>
        <v/>
      </c>
    </row>
    <row r="985" spans="3:9" x14ac:dyDescent="0.3">
      <c r="D985" s="48" t="str">
        <f>CONCATENATE(УЧРЕЖДЕНИЯ!$A$5)</f>
        <v>Допобр</v>
      </c>
      <c r="E985" s="92" t="s">
        <v>721</v>
      </c>
      <c r="F985" s="93">
        <v>346</v>
      </c>
      <c r="G985" s="93">
        <v>244</v>
      </c>
      <c r="H985" s="17" t="s">
        <v>719</v>
      </c>
      <c r="I985" s="93" t="str">
        <f>IF(OR(F985=152,F985=162,F985=510),IF((OR(LEFT(RIGHT(E985,13),1)={"A","D","E","F","G","I","L","N","P","R","S","T","V"})),"Ф",""),"")</f>
        <v/>
      </c>
    </row>
    <row r="986" spans="3:9" x14ac:dyDescent="0.3">
      <c r="D986" s="48" t="str">
        <f>CONCATENATE(УЧРЕЖДЕНИЯ!$A$5)</f>
        <v>Допобр</v>
      </c>
      <c r="E986" s="92" t="s">
        <v>721</v>
      </c>
      <c r="F986" s="93">
        <v>349</v>
      </c>
      <c r="G986" s="93">
        <v>244</v>
      </c>
      <c r="H986" s="17" t="s">
        <v>719</v>
      </c>
      <c r="I986" s="93" t="str">
        <f>IF(OR(F986=152,F986=162,F986=510),IF((OR(LEFT(RIGHT(E986,13),1)={"A","D","E","F","G","I","L","N","P","R","S","T","V"})),"Ф",""),"")</f>
        <v/>
      </c>
    </row>
    <row r="987" spans="3:9" x14ac:dyDescent="0.3">
      <c r="D987" s="48" t="str">
        <f>CONCATENATE(УЧРЕЖДЕНИЯ!$A$5)</f>
        <v>Допобр</v>
      </c>
      <c r="E987" s="92" t="s">
        <v>821</v>
      </c>
      <c r="F987" s="93">
        <v>152</v>
      </c>
      <c r="G987" s="93">
        <v>150</v>
      </c>
      <c r="H987" s="17" t="s">
        <v>183</v>
      </c>
      <c r="I987" s="93" t="str">
        <f>IF(OR(F987=152,F987=162,F987=510),IF((OR(LEFT(RIGHT(E987,13),1)={"A","D","E","F","G","I","L","N","P","R","S","T","V"})),"Ф",""),"")</f>
        <v/>
      </c>
    </row>
    <row r="988" spans="3:9" x14ac:dyDescent="0.3">
      <c r="D988" s="48" t="str">
        <f>CONCATENATE(УЧРЕЖДЕНИЯ!$A$5)</f>
        <v>Допобр</v>
      </c>
      <c r="E988" s="92" t="s">
        <v>822</v>
      </c>
      <c r="F988" s="93">
        <v>222</v>
      </c>
      <c r="G988" s="93">
        <v>244</v>
      </c>
      <c r="H988" s="17" t="s">
        <v>183</v>
      </c>
      <c r="I988" s="93" t="str">
        <f>IF(OR(F988=152,F988=162,F988=510),IF((OR(LEFT(RIGHT(E988,13),1)={"A","D","E","F","G","I","L","N","P","R","S","T","V"})),"Ф",""),"")</f>
        <v/>
      </c>
    </row>
    <row r="989" spans="3:9" x14ac:dyDescent="0.3">
      <c r="D989" s="48" t="str">
        <f>CONCATENATE(УЧРЕЖДЕНИЯ!$A$5)</f>
        <v>Допобр</v>
      </c>
      <c r="E989" s="92" t="s">
        <v>822</v>
      </c>
      <c r="F989" s="93">
        <v>310</v>
      </c>
      <c r="G989" s="93">
        <v>244</v>
      </c>
      <c r="H989" s="17" t="s">
        <v>183</v>
      </c>
      <c r="I989" s="93" t="str">
        <f>IF(OR(F989=152,F989=162,F989=510),IF((OR(LEFT(RIGHT(E989,13),1)={"A","D","E","F","G","I","L","N","P","R","S","T","V"})),"Ф",""),"")</f>
        <v/>
      </c>
    </row>
    <row r="990" spans="3:9" x14ac:dyDescent="0.3">
      <c r="C990" s="48" t="s">
        <v>132</v>
      </c>
      <c r="D990" s="48" t="str">
        <f>CONCATENATE(УЧРЕЖДЕНИЯ!$A$6)</f>
        <v>благоустройство</v>
      </c>
      <c r="E990" s="92" t="s">
        <v>913</v>
      </c>
      <c r="F990" s="93">
        <v>162</v>
      </c>
      <c r="G990" s="93">
        <v>150</v>
      </c>
      <c r="H990" s="17" t="s">
        <v>185</v>
      </c>
      <c r="I990" s="93" t="str">
        <f>IF(OR(F990=152,F990=162,F990=510),IF((OR(LEFT(RIGHT(E990,13),1)={"A","D","E","F","G","I","L","N","P","R","S","T","V"})),"Ф",""),"")</f>
        <v/>
      </c>
    </row>
    <row r="991" spans="3:9" x14ac:dyDescent="0.3">
      <c r="D991" s="48" t="str">
        <f>CONCATENATE(УЧРЕЖДЕНИЯ!$A$6)</f>
        <v>благоустройство</v>
      </c>
      <c r="E991" s="92" t="s">
        <v>914</v>
      </c>
      <c r="F991" s="93">
        <v>310</v>
      </c>
      <c r="G991" s="93">
        <v>244</v>
      </c>
      <c r="H991" s="17" t="s">
        <v>185</v>
      </c>
      <c r="I991" s="93" t="str">
        <f>IF(OR(F991=152,F991=162,F991=510),IF((OR(LEFT(RIGHT(E991,13),1)={"A","D","E","F","G","I","L","N","P","R","S","T","V"})),"Ф",""),"")</f>
        <v/>
      </c>
    </row>
    <row r="992" spans="3:9" x14ac:dyDescent="0.3">
      <c r="C992" s="48" t="s">
        <v>194</v>
      </c>
      <c r="D992" s="48" t="str">
        <f>CONCATENATE(УЧРЕЖДЕНИЯ!$A$7)</f>
        <v>МХШ</v>
      </c>
      <c r="E992" s="92" t="s">
        <v>720</v>
      </c>
      <c r="F992" s="93">
        <v>152</v>
      </c>
      <c r="G992" s="93">
        <v>150</v>
      </c>
      <c r="H992" s="17" t="s">
        <v>719</v>
      </c>
      <c r="I992" s="93" t="str">
        <f>IF(OR(F992=152,F992=162,F992=510),IF((OR(LEFT(RIGHT(E992,13),1)={"A","D","E","F","G","I","L","N","P","R","S","T","V"})),"Ф",""),"")</f>
        <v/>
      </c>
    </row>
    <row r="993" spans="4:9" x14ac:dyDescent="0.3">
      <c r="D993" s="48" t="str">
        <f>CONCATENATE(УЧРЕЖДЕНИЯ!$A$7)</f>
        <v>МХШ</v>
      </c>
      <c r="E993" s="92" t="s">
        <v>721</v>
      </c>
      <c r="F993" s="93">
        <v>226</v>
      </c>
      <c r="G993" s="93">
        <v>244</v>
      </c>
      <c r="H993" s="17" t="s">
        <v>719</v>
      </c>
      <c r="I993" s="93" t="str">
        <f>IF(OR(F993=152,F993=162,F993=510),IF((OR(LEFT(RIGHT(E993,13),1)={"A","D","E","F","G","I","L","N","P","R","S","T","V"})),"Ф",""),"")</f>
        <v/>
      </c>
    </row>
    <row r="994" spans="4:9" x14ac:dyDescent="0.3">
      <c r="D994" s="48" t="str">
        <f>CONCATENATE(УЧРЕЖДЕНИЯ!$A$7)</f>
        <v>МХШ</v>
      </c>
      <c r="E994" s="92" t="s">
        <v>721</v>
      </c>
      <c r="F994" s="93">
        <v>227</v>
      </c>
      <c r="G994" s="93">
        <v>244</v>
      </c>
      <c r="H994" s="17" t="s">
        <v>719</v>
      </c>
      <c r="I994" s="93" t="str">
        <f>IF(OR(F994=152,F994=162,F994=510),IF((OR(LEFT(RIGHT(E994,13),1)={"A","D","E","F","G","I","L","N","P","R","S","T","V"})),"Ф",""),"")</f>
        <v/>
      </c>
    </row>
    <row r="995" spans="4:9" x14ac:dyDescent="0.3">
      <c r="D995" s="48" t="str">
        <f>CONCATENATE(УЧРЕЖДЕНИЯ!$A$7)</f>
        <v>МХШ</v>
      </c>
      <c r="E995" s="92" t="s">
        <v>721</v>
      </c>
      <c r="F995" s="93">
        <v>341</v>
      </c>
      <c r="G995" s="93">
        <v>244</v>
      </c>
      <c r="H995" s="17" t="s">
        <v>719</v>
      </c>
      <c r="I995" s="93" t="str">
        <f>IF(OR(F995=152,F995=162,F995=510),IF((OR(LEFT(RIGHT(E995,13),1)={"A","D","E","F","G","I","L","N","P","R","S","T","V"})),"Ф",""),"")</f>
        <v/>
      </c>
    </row>
    <row r="996" spans="4:9" x14ac:dyDescent="0.3">
      <c r="D996" s="48" t="str">
        <f>CONCATENATE(УЧРЕЖДЕНИЯ!$A$7)</f>
        <v>МХШ</v>
      </c>
      <c r="E996" s="92" t="s">
        <v>721</v>
      </c>
      <c r="F996" s="93">
        <v>346</v>
      </c>
      <c r="G996" s="93">
        <v>244</v>
      </c>
      <c r="H996" s="17" t="s">
        <v>719</v>
      </c>
      <c r="I996" s="93" t="str">
        <f>IF(OR(F996=152,F996=162,F996=510),IF((OR(LEFT(RIGHT(E996,13),1)={"A","D","E","F","G","I","L","N","P","R","S","T","V"})),"Ф",""),"")</f>
        <v/>
      </c>
    </row>
    <row r="997" spans="4:9" x14ac:dyDescent="0.3">
      <c r="D997" s="48" t="str">
        <f>CONCATENATE(УЧРЕЖДЕНИЯ!$A$7)</f>
        <v>МХШ</v>
      </c>
      <c r="E997" s="92" t="s">
        <v>721</v>
      </c>
      <c r="F997" s="93">
        <v>349</v>
      </c>
      <c r="G997" s="93">
        <v>244</v>
      </c>
      <c r="H997" s="17" t="s">
        <v>719</v>
      </c>
      <c r="I997" s="93" t="str">
        <f>IF(OR(F997=152,F997=162,F997=510),IF((OR(LEFT(RIGHT(E997,13),1)={"A","D","E","F","G","I","L","N","P","R","S","T","V"})),"Ф",""),"")</f>
        <v/>
      </c>
    </row>
    <row r="998" spans="4:9" x14ac:dyDescent="0.3">
      <c r="D998" s="48" t="str">
        <f>CONCATENATE(УЧРЕЖДЕНИЯ!$A$7)</f>
        <v>МХШ</v>
      </c>
      <c r="E998" s="92" t="s">
        <v>821</v>
      </c>
      <c r="F998" s="93">
        <v>152</v>
      </c>
      <c r="G998" s="93">
        <v>150</v>
      </c>
      <c r="H998" s="17" t="s">
        <v>183</v>
      </c>
      <c r="I998" s="93" t="str">
        <f>IF(OR(F998=152,F998=162,F998=510),IF((OR(LEFT(RIGHT(E998,13),1)={"A","D","E","F","G","I","L","N","P","R","S","T","V"})),"Ф",""),"")</f>
        <v/>
      </c>
    </row>
    <row r="999" spans="4:9" x14ac:dyDescent="0.3">
      <c r="D999" s="48" t="str">
        <f>CONCATENATE(УЧРЕЖДЕНИЯ!$A$7)</f>
        <v>МХШ</v>
      </c>
      <c r="E999" s="92" t="s">
        <v>822</v>
      </c>
      <c r="F999" s="93">
        <v>310</v>
      </c>
      <c r="G999" s="93">
        <v>244</v>
      </c>
      <c r="H999" s="17" t="s">
        <v>183</v>
      </c>
      <c r="I999" s="93" t="str">
        <f>IF(OR(F999=152,F999=162,F999=510),IF((OR(LEFT(RIGHT(E999,13),1)={"A","D","E","F","G","I","L","N","P","R","S","T","V"})),"Ф",""),"")</f>
        <v/>
      </c>
    </row>
    <row r="1000" spans="4:9" x14ac:dyDescent="0.3">
      <c r="D1000" s="48" t="str">
        <f>CONCATENATE(УЧРЕЖДЕНИЯ!$A$8)</f>
        <v>ЦБС</v>
      </c>
      <c r="E1000" s="92" t="s">
        <v>840</v>
      </c>
      <c r="F1000" s="93">
        <v>152</v>
      </c>
      <c r="G1000" s="93">
        <v>150</v>
      </c>
      <c r="H1000" s="17" t="s">
        <v>719</v>
      </c>
      <c r="I1000" s="93" t="str">
        <f>IF(OR(F1000=152,F1000=162,F1000=510),IF((OR(LEFT(RIGHT(E1000,13),1)={"A","D","E","F","G","I","L","N","P","R","S","T","V"})),"Ф",""),"")</f>
        <v/>
      </c>
    </row>
    <row r="1001" spans="4:9" x14ac:dyDescent="0.3">
      <c r="D1001" s="48" t="str">
        <f>CONCATENATE(УЧРЕЖДЕНИЯ!$A$8)</f>
        <v>ЦБС</v>
      </c>
      <c r="E1001" s="92" t="s">
        <v>841</v>
      </c>
      <c r="F1001" s="93">
        <v>310</v>
      </c>
      <c r="G1001" s="93">
        <v>244</v>
      </c>
      <c r="H1001" s="17" t="s">
        <v>719</v>
      </c>
      <c r="I1001" s="93" t="str">
        <f>IF(OR(F1001=152,F1001=162,F1001=510),IF((OR(LEFT(RIGHT(E1001,13),1)={"A","D","E","F","G","I","L","N","P","R","S","T","V"})),"Ф",""),"")</f>
        <v/>
      </c>
    </row>
    <row r="1002" spans="4:9" x14ac:dyDescent="0.3">
      <c r="D1002" s="48" t="str">
        <f>CONCATENATE(УЧРЕЖДЕНИЯ!$A$8)</f>
        <v>ЦБС</v>
      </c>
      <c r="E1002" s="92" t="s">
        <v>841</v>
      </c>
      <c r="F1002" s="93">
        <v>341</v>
      </c>
      <c r="G1002" s="93">
        <v>244</v>
      </c>
      <c r="H1002" s="17" t="s">
        <v>719</v>
      </c>
      <c r="I1002" s="93" t="str">
        <f>IF(OR(F1002=152,F1002=162,F1002=510),IF((OR(LEFT(RIGHT(E1002,13),1)={"A","D","E","F","G","I","L","N","P","R","S","T","V"})),"Ф",""),"")</f>
        <v/>
      </c>
    </row>
    <row r="1003" spans="4:9" x14ac:dyDescent="0.3">
      <c r="D1003" s="48" t="str">
        <f>CONCATENATE(УЧРЕЖДЕНИЯ!$A$8)</f>
        <v>ЦБС</v>
      </c>
      <c r="E1003" s="92" t="s">
        <v>841</v>
      </c>
      <c r="F1003" s="93">
        <v>346</v>
      </c>
      <c r="G1003" s="93">
        <v>244</v>
      </c>
      <c r="H1003" s="17" t="s">
        <v>719</v>
      </c>
      <c r="I1003" s="93" t="str">
        <f>IF(OR(F1003=152,F1003=162,F1003=510),IF((OR(LEFT(RIGHT(E1003,13),1)={"A","D","E","F","G","I","L","N","P","R","S","T","V"})),"Ф",""),"")</f>
        <v/>
      </c>
    </row>
    <row r="1004" spans="4:9" x14ac:dyDescent="0.3">
      <c r="D1004" s="48" t="str">
        <f>CONCATENATE(УЧРЕЖДЕНИЯ!$A$8)</f>
        <v>ЦБС</v>
      </c>
      <c r="E1004" s="92" t="s">
        <v>841</v>
      </c>
      <c r="F1004" s="93">
        <v>349</v>
      </c>
      <c r="G1004" s="93">
        <v>244</v>
      </c>
      <c r="H1004" s="17" t="s">
        <v>719</v>
      </c>
      <c r="I1004" s="93" t="str">
        <f>IF(OR(F1004=152,F1004=162,F1004=510),IF((OR(LEFT(RIGHT(E1004,13),1)={"A","D","E","F","G","I","L","N","P","R","S","T","V"})),"Ф",""),"")</f>
        <v/>
      </c>
    </row>
    <row r="1005" spans="4:9" x14ac:dyDescent="0.3">
      <c r="D1005" s="48" t="str">
        <f>CONCATENATE(УЧРЕЖДЕНИЯ!$A$8)</f>
        <v>ЦБС</v>
      </c>
      <c r="E1005" s="92" t="s">
        <v>823</v>
      </c>
      <c r="F1005" s="93">
        <v>152</v>
      </c>
      <c r="G1005" s="93">
        <v>150</v>
      </c>
      <c r="H1005" s="17" t="s">
        <v>187</v>
      </c>
      <c r="I1005" s="93" t="str">
        <f>IF(OR(F1005=152,F1005=162,F1005=510),IF((OR(LEFT(RIGHT(E1005,13),1)={"A","D","E","F","G","I","L","N","P","R","S","T","V"})),"Ф",""),"")</f>
        <v/>
      </c>
    </row>
    <row r="1006" spans="4:9" x14ac:dyDescent="0.3">
      <c r="D1006" s="48" t="str">
        <f>CONCATENATE(УЧРЕЖДЕНИЯ!$A$8)</f>
        <v>ЦБС</v>
      </c>
      <c r="E1006" s="92" t="s">
        <v>824</v>
      </c>
      <c r="F1006" s="93">
        <v>226</v>
      </c>
      <c r="G1006" s="93">
        <v>244</v>
      </c>
      <c r="H1006" s="17" t="s">
        <v>187</v>
      </c>
      <c r="I1006" s="93" t="str">
        <f>IF(OR(F1006=152,F1006=162,F1006=510),IF((OR(LEFT(RIGHT(E1006,13),1)={"A","D","E","F","G","I","L","N","P","R","S","T","V"})),"Ф",""),"")</f>
        <v/>
      </c>
    </row>
    <row r="1007" spans="4:9" x14ac:dyDescent="0.3">
      <c r="D1007" s="48" t="str">
        <f>CONCATENATE(УЧРЕЖДЕНИЯ!$A$8)</f>
        <v>ЦБС</v>
      </c>
      <c r="E1007" s="92" t="s">
        <v>799</v>
      </c>
      <c r="F1007" s="93">
        <v>152</v>
      </c>
      <c r="G1007" s="93">
        <v>150</v>
      </c>
      <c r="H1007" s="17" t="s">
        <v>187</v>
      </c>
      <c r="I1007" s="93" t="str">
        <f>IF(OR(F1007=152,F1007=162,F1007=510),IF((OR(LEFT(RIGHT(E1007,13),1)={"A","D","E","F","G","I","L","N","P","R","S","T","V"})),"Ф",""),"")</f>
        <v/>
      </c>
    </row>
    <row r="1008" spans="4:9" x14ac:dyDescent="0.3">
      <c r="D1008" s="48" t="str">
        <f>CONCATENATE(УЧРЕЖДЕНИЯ!$A$8)</f>
        <v>ЦБС</v>
      </c>
      <c r="E1008" s="92" t="s">
        <v>800</v>
      </c>
      <c r="F1008" s="93">
        <v>310</v>
      </c>
      <c r="G1008" s="93">
        <v>244</v>
      </c>
      <c r="H1008" s="17" t="s">
        <v>187</v>
      </c>
      <c r="I1008" s="93" t="str">
        <f>IF(OR(F1008=152,F1008=162,F1008=510),IF((OR(LEFT(RIGHT(E1008,13),1)={"A","D","E","F","G","I","L","N","P","R","S","T","V"})),"Ф",""),"")</f>
        <v/>
      </c>
    </row>
    <row r="1009" spans="4:9" x14ac:dyDescent="0.3">
      <c r="D1009" s="48" t="str">
        <f>CONCATENATE(УЧРЕЖДЕНИЯ!$A$8)</f>
        <v>ЦБС</v>
      </c>
      <c r="E1009" s="92" t="s">
        <v>819</v>
      </c>
      <c r="F1009" s="93">
        <v>152</v>
      </c>
      <c r="G1009" s="93">
        <v>150</v>
      </c>
      <c r="H1009" s="17" t="s">
        <v>187</v>
      </c>
      <c r="I1009" s="93" t="str">
        <f>IF(OR(F1009=152,F1009=162,F1009=510),IF((OR(LEFT(RIGHT(E1009,13),1)={"A","D","E","F","G","I","L","N","P","R","S","T","V"})),"Ф",""),"")</f>
        <v>Ф</v>
      </c>
    </row>
    <row r="1010" spans="4:9" x14ac:dyDescent="0.3">
      <c r="D1010" s="48" t="str">
        <f>CONCATENATE(УЧРЕЖДЕНИЯ!$A$8)</f>
        <v>ЦБС</v>
      </c>
      <c r="E1010" s="92" t="s">
        <v>820</v>
      </c>
      <c r="F1010" s="93">
        <v>310</v>
      </c>
      <c r="G1010" s="93">
        <v>244</v>
      </c>
      <c r="H1010" s="17" t="s">
        <v>187</v>
      </c>
      <c r="I1010" s="93" t="str">
        <f>IF(OR(F1010=152,F1010=162,F1010=510),IF((OR(LEFT(RIGHT(E1010,13),1)={"A","D","E","F","G","I","L","N","P","R","S","T","V"})),"Ф",""),"")</f>
        <v/>
      </c>
    </row>
    <row r="1011" spans="4:9" x14ac:dyDescent="0.3">
      <c r="D1011" s="48" t="str">
        <f>CONCATENATE(УЧРЕЖДЕНИЯ!$A$8)</f>
        <v>ЦБС</v>
      </c>
      <c r="E1011" s="92" t="s">
        <v>821</v>
      </c>
      <c r="F1011" s="93">
        <v>152</v>
      </c>
      <c r="G1011" s="93">
        <v>150</v>
      </c>
      <c r="H1011" s="17" t="s">
        <v>187</v>
      </c>
      <c r="I1011" s="93" t="str">
        <f>IF(OR(F1011=152,F1011=162,F1011=510),IF((OR(LEFT(RIGHT(E1011,13),1)={"A","D","E","F","G","I","L","N","P","R","S","T","V"})),"Ф",""),"")</f>
        <v/>
      </c>
    </row>
    <row r="1012" spans="4:9" x14ac:dyDescent="0.3">
      <c r="D1012" s="48" t="str">
        <f>CONCATENATE(УЧРЕЖДЕНИЯ!$A$8)</f>
        <v>ЦБС</v>
      </c>
      <c r="E1012" s="92" t="s">
        <v>822</v>
      </c>
      <c r="F1012" s="93">
        <v>310</v>
      </c>
      <c r="G1012" s="93">
        <v>244</v>
      </c>
      <c r="H1012" s="17" t="s">
        <v>187</v>
      </c>
      <c r="I1012" s="93" t="str">
        <f>IF(OR(F1012=152,F1012=162,F1012=510),IF((OR(LEFT(RIGHT(E1012,13),1)={"A","D","E","F","G","I","L","N","P","R","S","T","V"})),"Ф",""),"")</f>
        <v/>
      </c>
    </row>
    <row r="1013" spans="4:9" x14ac:dyDescent="0.3">
      <c r="D1013" s="48" t="str">
        <f>CONCATENATE(УЧРЕЖДЕНИЯ!$A$9)</f>
        <v>музей</v>
      </c>
      <c r="E1013" s="92" t="s">
        <v>821</v>
      </c>
      <c r="F1013" s="93">
        <v>152</v>
      </c>
      <c r="G1013" s="93">
        <v>150</v>
      </c>
      <c r="H1013" s="17" t="s">
        <v>187</v>
      </c>
      <c r="I1013" s="93" t="str">
        <f>IF(OR(F1013=152,F1013=162,F1013=510),IF((OR(LEFT(RIGHT(E1013,13),1)={"A","D","E","F","G","I","L","N","P","R","S","T","V"})),"Ф",""),"")</f>
        <v/>
      </c>
    </row>
    <row r="1014" spans="4:9" x14ac:dyDescent="0.3">
      <c r="D1014" s="48" t="str">
        <f>CONCATENATE(УЧРЕЖДЕНИЯ!$A$9)</f>
        <v>музей</v>
      </c>
      <c r="E1014" s="92" t="s">
        <v>822</v>
      </c>
      <c r="F1014" s="93">
        <v>344</v>
      </c>
      <c r="G1014" s="93">
        <v>244</v>
      </c>
      <c r="H1014" s="17" t="s">
        <v>187</v>
      </c>
      <c r="I1014" s="93" t="str">
        <f>IF(OR(F1014=152,F1014=162,F1014=510),IF((OR(LEFT(RIGHT(E1014,13),1)={"A","D","E","F","G","I","L","N","P","R","S","T","V"})),"Ф",""),"")</f>
        <v/>
      </c>
    </row>
    <row r="1015" spans="4:9" x14ac:dyDescent="0.3">
      <c r="D1015" s="48" t="str">
        <f>CONCATENATE(УЧРЕЖДЕНИЯ!$A$11)</f>
        <v>культура</v>
      </c>
      <c r="E1015" s="92" t="s">
        <v>840</v>
      </c>
      <c r="F1015" s="93">
        <v>152</v>
      </c>
      <c r="G1015" s="93">
        <v>150</v>
      </c>
      <c r="H1015" s="17" t="s">
        <v>719</v>
      </c>
      <c r="I1015" s="93" t="str">
        <f>IF(OR(F1015=152,F1015=162,F1015=510),IF((OR(LEFT(RIGHT(E1015,13),1)={"A","D","E","F","G","I","L","N","P","R","S","T","V"})),"Ф",""),"")</f>
        <v/>
      </c>
    </row>
    <row r="1016" spans="4:9" x14ac:dyDescent="0.3">
      <c r="D1016" s="48" t="str">
        <f>CONCATENATE(УЧРЕЖДЕНИЯ!$A$11)</f>
        <v>культура</v>
      </c>
      <c r="E1016" s="92" t="s">
        <v>841</v>
      </c>
      <c r="F1016" s="93">
        <v>310</v>
      </c>
      <c r="G1016" s="93">
        <v>244</v>
      </c>
      <c r="H1016" s="17" t="s">
        <v>719</v>
      </c>
      <c r="I1016" s="93" t="str">
        <f>IF(OR(F1016=152,F1016=162,F1016=510),IF((OR(LEFT(RIGHT(E1016,13),1)={"A","D","E","F","G","I","L","N","P","R","S","T","V"})),"Ф",""),"")</f>
        <v/>
      </c>
    </row>
    <row r="1017" spans="4:9" x14ac:dyDescent="0.3">
      <c r="D1017" s="48" t="str">
        <f>CONCATENATE(УЧРЕЖДЕНИЯ!$A$11)</f>
        <v>культура</v>
      </c>
      <c r="E1017" s="92" t="s">
        <v>841</v>
      </c>
      <c r="F1017" s="93">
        <v>341</v>
      </c>
      <c r="G1017" s="93">
        <v>244</v>
      </c>
      <c r="H1017" s="17" t="s">
        <v>719</v>
      </c>
      <c r="I1017" s="93" t="str">
        <f>IF(OR(F1017=152,F1017=162,F1017=510),IF((OR(LEFT(RIGHT(E1017,13),1)={"A","D","E","F","G","I","L","N","P","R","S","T","V"})),"Ф",""),"")</f>
        <v/>
      </c>
    </row>
    <row r="1018" spans="4:9" x14ac:dyDescent="0.3">
      <c r="D1018" s="48" t="str">
        <f>CONCATENATE(УЧРЕЖДЕНИЯ!$A$11)</f>
        <v>культура</v>
      </c>
      <c r="E1018" s="92" t="s">
        <v>841</v>
      </c>
      <c r="F1018" s="93">
        <v>346</v>
      </c>
      <c r="G1018" s="93">
        <v>244</v>
      </c>
      <c r="H1018" s="17" t="s">
        <v>719</v>
      </c>
      <c r="I1018" s="93" t="str">
        <f>IF(OR(F1018=152,F1018=162,F1018=510),IF((OR(LEFT(RIGHT(E1018,13),1)={"A","D","E","F","G","I","L","N","P","R","S","T","V"})),"Ф",""),"")</f>
        <v/>
      </c>
    </row>
    <row r="1019" spans="4:9" x14ac:dyDescent="0.3">
      <c r="D1019" s="48" t="str">
        <f>CONCATENATE(УЧРЕЖДЕНИЯ!$A$11)</f>
        <v>культура</v>
      </c>
      <c r="E1019" s="92" t="s">
        <v>841</v>
      </c>
      <c r="F1019" s="93">
        <v>349</v>
      </c>
      <c r="G1019" s="93">
        <v>244</v>
      </c>
      <c r="H1019" s="17" t="s">
        <v>719</v>
      </c>
      <c r="I1019" s="93" t="str">
        <f>IF(OR(F1019=152,F1019=162,F1019=510),IF((OR(LEFT(RIGHT(E1019,13),1)={"A","D","E","F","G","I","L","N","P","R","S","T","V"})),"Ф",""),"")</f>
        <v/>
      </c>
    </row>
    <row r="1020" spans="4:9" x14ac:dyDescent="0.3">
      <c r="D1020" s="48" t="str">
        <f>CONCATENATE(УЧРЕЖДЕНИЯ!$A$11)</f>
        <v>культура</v>
      </c>
      <c r="E1020" s="92" t="s">
        <v>823</v>
      </c>
      <c r="F1020" s="93">
        <v>152</v>
      </c>
      <c r="G1020" s="93">
        <v>150</v>
      </c>
      <c r="H1020" s="17" t="s">
        <v>187</v>
      </c>
      <c r="I1020" s="93" t="str">
        <f>IF(OR(F1020=152,F1020=162,F1020=510),IF((OR(LEFT(RIGHT(E1020,13),1)={"A","D","E","F","G","I","L","N","P","R","S","T","V"})),"Ф",""),"")</f>
        <v/>
      </c>
    </row>
    <row r="1021" spans="4:9" x14ac:dyDescent="0.3">
      <c r="D1021" s="48" t="str">
        <f>CONCATENATE(УЧРЕЖДЕНИЯ!$A$11)</f>
        <v>культура</v>
      </c>
      <c r="E1021" s="92" t="s">
        <v>824</v>
      </c>
      <c r="F1021" s="93">
        <v>226</v>
      </c>
      <c r="G1021" s="93">
        <v>244</v>
      </c>
      <c r="H1021" s="17" t="s">
        <v>187</v>
      </c>
      <c r="I1021" s="93" t="str">
        <f>IF(OR(F1021=152,F1021=162,F1021=510),IF((OR(LEFT(RIGHT(E1021,13),1)={"A","D","E","F","G","I","L","N","P","R","S","T","V"})),"Ф",""),"")</f>
        <v/>
      </c>
    </row>
    <row r="1022" spans="4:9" x14ac:dyDescent="0.3">
      <c r="D1022" s="48" t="str">
        <f>CONCATENATE(УЧРЕЖДЕНИЯ!$A$11)</f>
        <v>культура</v>
      </c>
      <c r="E1022" s="92" t="s">
        <v>715</v>
      </c>
      <c r="F1022" s="93">
        <v>152</v>
      </c>
      <c r="G1022" s="93">
        <v>150</v>
      </c>
      <c r="H1022" s="17" t="s">
        <v>187</v>
      </c>
      <c r="I1022" s="93" t="str">
        <f>IF(OR(F1022=152,F1022=162,F1022=510),IF((OR(LEFT(RIGHT(E1022,13),1)={"A","D","E","F","G","I","L","N","P","R","S","T","V"})),"Ф",""),"")</f>
        <v/>
      </c>
    </row>
    <row r="1023" spans="4:9" x14ac:dyDescent="0.3">
      <c r="D1023" s="48" t="str">
        <f>CONCATENATE(УЧРЕЖДЕНИЯ!$A$11)</f>
        <v>культура</v>
      </c>
      <c r="E1023" s="92" t="s">
        <v>716</v>
      </c>
      <c r="F1023" s="93">
        <v>310</v>
      </c>
      <c r="G1023" s="93">
        <v>244</v>
      </c>
      <c r="H1023" s="17" t="s">
        <v>187</v>
      </c>
      <c r="I1023" s="93" t="str">
        <f>IF(OR(F1023=152,F1023=162,F1023=510),IF((OR(LEFT(RIGHT(E1023,13),1)={"A","D","E","F","G","I","L","N","P","R","S","T","V"})),"Ф",""),"")</f>
        <v/>
      </c>
    </row>
    <row r="1024" spans="4:9" x14ac:dyDescent="0.3">
      <c r="D1024" s="48" t="str">
        <f>CONCATENATE(УЧРЕЖДЕНИЯ!$A$11)</f>
        <v>культура</v>
      </c>
      <c r="E1024" s="92" t="s">
        <v>717</v>
      </c>
      <c r="F1024" s="93">
        <v>152</v>
      </c>
      <c r="G1024" s="93">
        <v>150</v>
      </c>
      <c r="H1024" s="17" t="s">
        <v>187</v>
      </c>
      <c r="I1024" s="93" t="str">
        <f>IF(OR(F1024=152,F1024=162,F1024=510),IF((OR(LEFT(RIGHT(E1024,13),1)={"A","D","E","F","G","I","L","N","P","R","S","T","V"})),"Ф",""),"")</f>
        <v/>
      </c>
    </row>
    <row r="1025" spans="3:9" x14ac:dyDescent="0.3">
      <c r="D1025" s="48" t="str">
        <f>CONCATENATE(УЧРЕЖДЕНИЯ!$A$11)</f>
        <v>культура</v>
      </c>
      <c r="E1025" s="92" t="s">
        <v>718</v>
      </c>
      <c r="F1025" s="93">
        <v>226</v>
      </c>
      <c r="G1025" s="93">
        <v>244</v>
      </c>
      <c r="H1025" s="17" t="s">
        <v>187</v>
      </c>
      <c r="I1025" s="93" t="str">
        <f>IF(OR(F1025=152,F1025=162,F1025=510),IF((OR(LEFT(RIGHT(E1025,13),1)={"A","D","E","F","G","I","L","N","P","R","S","T","V"})),"Ф",""),"")</f>
        <v/>
      </c>
    </row>
    <row r="1026" spans="3:9" x14ac:dyDescent="0.3">
      <c r="D1026" s="48" t="str">
        <f>CONCATENATE(УЧРЕЖДЕНИЯ!$A$11)</f>
        <v>культура</v>
      </c>
      <c r="E1026" s="92" t="s">
        <v>718</v>
      </c>
      <c r="F1026" s="93">
        <v>346</v>
      </c>
      <c r="G1026" s="93">
        <v>244</v>
      </c>
      <c r="H1026" s="17" t="s">
        <v>187</v>
      </c>
      <c r="I1026" s="93" t="str">
        <f>IF(OR(F1026=152,F1026=162,F1026=510),IF((OR(LEFT(RIGHT(E1026,13),1)={"A","D","E","F","G","I","L","N","P","R","S","T","V"})),"Ф",""),"")</f>
        <v/>
      </c>
    </row>
    <row r="1027" spans="3:9" x14ac:dyDescent="0.3">
      <c r="D1027" s="48" t="str">
        <f>CONCATENATE(УЧРЕЖДЕНИЯ!$A$11)</f>
        <v>культура</v>
      </c>
      <c r="E1027" s="92" t="s">
        <v>718</v>
      </c>
      <c r="F1027" s="93">
        <v>349</v>
      </c>
      <c r="G1027" s="93">
        <v>244</v>
      </c>
      <c r="H1027" s="17" t="s">
        <v>187</v>
      </c>
      <c r="I1027" s="93" t="str">
        <f>IF(OR(F1027=152,F1027=162,F1027=510),IF((OR(LEFT(RIGHT(E1027,13),1)={"A","D","E","F","G","I","L","N","P","R","S","T","V"})),"Ф",""),"")</f>
        <v/>
      </c>
    </row>
    <row r="1028" spans="3:9" x14ac:dyDescent="0.3">
      <c r="D1028" s="48" t="str">
        <f>CONCATENATE(УЧРЕЖДЕНИЯ!$A$11)</f>
        <v>культура</v>
      </c>
      <c r="E1028" s="92" t="s">
        <v>821</v>
      </c>
      <c r="F1028" s="93">
        <v>152</v>
      </c>
      <c r="G1028" s="93">
        <v>150</v>
      </c>
      <c r="H1028" s="17" t="s">
        <v>187</v>
      </c>
      <c r="I1028" s="93" t="str">
        <f>IF(OR(F1028=152,F1028=162,F1028=510),IF((OR(LEFT(RIGHT(E1028,13),1)={"A","D","E","F","G","I","L","N","P","R","S","T","V"})),"Ф",""),"")</f>
        <v/>
      </c>
    </row>
    <row r="1029" spans="3:9" x14ac:dyDescent="0.3">
      <c r="D1029" s="48" t="str">
        <f>CONCATENATE(УЧРЕЖДЕНИЯ!$A$11)</f>
        <v>культура</v>
      </c>
      <c r="E1029" s="92" t="s">
        <v>822</v>
      </c>
      <c r="F1029" s="93">
        <v>310</v>
      </c>
      <c r="G1029" s="93">
        <v>244</v>
      </c>
      <c r="H1029" s="17" t="s">
        <v>187</v>
      </c>
      <c r="I1029" s="93" t="str">
        <f>IF(OR(F1029=152,F1029=162,F1029=510),IF((OR(LEFT(RIGHT(E1029,13),1)={"A","D","E","F","G","I","L","N","P","R","S","T","V"})),"Ф",""),"")</f>
        <v/>
      </c>
    </row>
    <row r="1030" spans="3:9" x14ac:dyDescent="0.3">
      <c r="D1030" s="48" t="str">
        <f>CONCATENATE(УЧРЕЖДЕНИЯ!$A$11)</f>
        <v>культура</v>
      </c>
      <c r="E1030" s="92" t="s">
        <v>822</v>
      </c>
      <c r="F1030" s="93">
        <v>346</v>
      </c>
      <c r="G1030" s="93">
        <v>244</v>
      </c>
      <c r="H1030" s="17" t="s">
        <v>187</v>
      </c>
      <c r="I1030" s="93" t="str">
        <f>IF(OR(F1030=152,F1030=162,F1030=510),IF((OR(LEFT(RIGHT(E1030,13),1)={"A","D","E","F","G","I","L","N","P","R","S","T","V"})),"Ф",""),"")</f>
        <v/>
      </c>
    </row>
    <row r="1031" spans="3:9" x14ac:dyDescent="0.3">
      <c r="D1031" s="48" t="str">
        <f>CONCATENATE(УЧРЕЖДЕНИЯ!$A$11)</f>
        <v>культура</v>
      </c>
      <c r="E1031" s="92" t="s">
        <v>822</v>
      </c>
      <c r="F1031" s="93">
        <v>349</v>
      </c>
      <c r="G1031" s="93">
        <v>244</v>
      </c>
      <c r="H1031" s="17" t="s">
        <v>187</v>
      </c>
      <c r="I1031" s="93" t="str">
        <f>IF(OR(F1031=152,F1031=162,F1031=510),IF((OR(LEFT(RIGHT(E1031,13),1)={"A","D","E","F","G","I","L","N","P","R","S","T","V"})),"Ф",""),"")</f>
        <v/>
      </c>
    </row>
    <row r="1032" spans="3:9" x14ac:dyDescent="0.3">
      <c r="C1032" s="48" t="s">
        <v>195</v>
      </c>
      <c r="D1032" s="97" t="str">
        <f>CONCATENATE(УЧРЕЖДЕНИЯ!$A$12)</f>
        <v>спорт</v>
      </c>
      <c r="E1032" s="92" t="s">
        <v>840</v>
      </c>
      <c r="F1032" s="93">
        <v>152</v>
      </c>
      <c r="G1032" s="93">
        <v>150</v>
      </c>
      <c r="H1032" s="17" t="s">
        <v>719</v>
      </c>
      <c r="I1032" s="93" t="str">
        <f>IF(OR(F1032=152,F1032=162,F1032=510),IF((OR(LEFT(RIGHT(E1032,13),1)={"A","D","E","F","G","I","L","N","P","R","S","T","V"})),"Ф",""),"")</f>
        <v/>
      </c>
    </row>
    <row r="1033" spans="3:9" x14ac:dyDescent="0.3">
      <c r="D1033" s="97" t="str">
        <f>CONCATENATE(УЧРЕЖДЕНИЯ!$A$12)</f>
        <v>спорт</v>
      </c>
      <c r="E1033" s="92" t="s">
        <v>841</v>
      </c>
      <c r="F1033" s="93">
        <v>310</v>
      </c>
      <c r="G1033" s="93">
        <v>244</v>
      </c>
      <c r="H1033" s="17" t="s">
        <v>719</v>
      </c>
      <c r="I1033" s="93" t="str">
        <f>IF(OR(F1033=152,F1033=162,F1033=510),IF((OR(LEFT(RIGHT(E1033,13),1)={"A","D","E","F","G","I","L","N","P","R","S","T","V"})),"Ф",""),"")</f>
        <v/>
      </c>
    </row>
    <row r="1034" spans="3:9" x14ac:dyDescent="0.3">
      <c r="D1034" s="97" t="str">
        <f>CONCATENATE(УЧРЕЖДЕНИЯ!$A$12)</f>
        <v>спорт</v>
      </c>
      <c r="E1034" s="92" t="s">
        <v>841</v>
      </c>
      <c r="F1034" s="93">
        <v>341</v>
      </c>
      <c r="G1034" s="93">
        <v>244</v>
      </c>
      <c r="H1034" s="17" t="s">
        <v>719</v>
      </c>
      <c r="I1034" s="93" t="str">
        <f>IF(OR(F1034=152,F1034=162,F1034=510),IF((OR(LEFT(RIGHT(E1034,13),1)={"A","D","E","F","G","I","L","N","P","R","S","T","V"})),"Ф",""),"")</f>
        <v/>
      </c>
    </row>
    <row r="1035" spans="3:9" x14ac:dyDescent="0.3">
      <c r="D1035" s="97" t="str">
        <f>CONCATENATE(УЧРЕЖДЕНИЯ!$A$12)</f>
        <v>спорт</v>
      </c>
      <c r="E1035" s="92" t="s">
        <v>841</v>
      </c>
      <c r="F1035" s="93">
        <v>346</v>
      </c>
      <c r="G1035" s="93">
        <v>244</v>
      </c>
      <c r="H1035" s="17" t="s">
        <v>719</v>
      </c>
      <c r="I1035" s="93" t="str">
        <f>IF(OR(F1035=152,F1035=162,F1035=510),IF((OR(LEFT(RIGHT(E1035,13),1)={"A","D","E","F","G","I","L","N","P","R","S","T","V"})),"Ф",""),"")</f>
        <v/>
      </c>
    </row>
    <row r="1036" spans="3:9" x14ac:dyDescent="0.3">
      <c r="D1036" s="97" t="str">
        <f>CONCATENATE(УЧРЕЖДЕНИЯ!$A$12)</f>
        <v>спорт</v>
      </c>
      <c r="E1036" s="92" t="s">
        <v>841</v>
      </c>
      <c r="F1036" s="93">
        <v>349</v>
      </c>
      <c r="G1036" s="93">
        <v>244</v>
      </c>
      <c r="H1036" s="17" t="s">
        <v>719</v>
      </c>
      <c r="I1036" s="93" t="str">
        <f>IF(OR(F1036=152,F1036=162,F1036=510),IF((OR(LEFT(RIGHT(E1036,13),1)={"A","D","E","F","G","I","L","N","P","R","S","T","V"})),"Ф",""),"")</f>
        <v/>
      </c>
    </row>
    <row r="1037" spans="3:9" x14ac:dyDescent="0.3">
      <c r="D1037" s="97" t="str">
        <f>CONCATENATE(УЧРЕЖДЕНИЯ!$A$12)</f>
        <v>спорт</v>
      </c>
      <c r="E1037" s="49" t="s">
        <v>842</v>
      </c>
      <c r="F1037" s="98">
        <v>152</v>
      </c>
      <c r="G1037" s="98">
        <v>150</v>
      </c>
      <c r="H1037" s="99" t="s">
        <v>184</v>
      </c>
      <c r="I1037" s="93" t="str">
        <f>IF(OR(F1037=152,F1037=162,F1037=510),IF((OR(LEFT(RIGHT(E1037,13),1)={"A","D","E","F","G","I","L","N","P","R","S","T","V"})),"Ф",""),"")</f>
        <v/>
      </c>
    </row>
    <row r="1038" spans="3:9" x14ac:dyDescent="0.3">
      <c r="D1038" s="97" t="str">
        <f>CONCATENATE(УЧРЕЖДЕНИЯ!$A$12)</f>
        <v>спорт</v>
      </c>
      <c r="E1038" s="49" t="s">
        <v>843</v>
      </c>
      <c r="F1038" s="98">
        <v>226</v>
      </c>
      <c r="G1038" s="98">
        <v>244</v>
      </c>
      <c r="H1038" s="99" t="s">
        <v>184</v>
      </c>
      <c r="I1038" s="93" t="str">
        <f>IF(OR(F1038=152,F1038=162,F1038=510),IF((OR(LEFT(RIGHT(E1038,13),1)={"A","D","E","F","G","I","L","N","P","R","S","T","V"})),"Ф",""),"")</f>
        <v/>
      </c>
    </row>
    <row r="1039" spans="3:9" x14ac:dyDescent="0.3">
      <c r="D1039" s="97" t="str">
        <f>CONCATENATE(УЧРЕЖДЕНИЯ!$A$12)</f>
        <v>спорт</v>
      </c>
      <c r="E1039" s="92" t="s">
        <v>821</v>
      </c>
      <c r="F1039" s="93">
        <v>152</v>
      </c>
      <c r="G1039" s="93">
        <v>150</v>
      </c>
      <c r="H1039" s="17" t="s">
        <v>188</v>
      </c>
      <c r="I1039" s="93" t="str">
        <f>IF(OR(F1039=152,F1039=162,F1039=510),IF((OR(LEFT(RIGHT(E1039,13),1)={"A","D","E","F","G","I","L","N","P","R","S","T","V"})),"Ф",""),"")</f>
        <v/>
      </c>
    </row>
    <row r="1040" spans="3:9" x14ac:dyDescent="0.3">
      <c r="D1040" s="97" t="str">
        <f>CONCATENATE(УЧРЕЖДЕНИЯ!$A$12)</f>
        <v>спорт</v>
      </c>
      <c r="E1040" s="92" t="s">
        <v>822</v>
      </c>
      <c r="F1040" s="93">
        <v>225</v>
      </c>
      <c r="G1040" s="93">
        <v>244</v>
      </c>
      <c r="H1040" s="17" t="s">
        <v>188</v>
      </c>
      <c r="I1040" s="93" t="str">
        <f>IF(OR(F1040=152,F1040=162,F1040=510),IF((OR(LEFT(RIGHT(E1040,13),1)={"A","D","E","F","G","I","L","N","P","R","S","T","V"})),"Ф",""),"")</f>
        <v/>
      </c>
    </row>
    <row r="1041" spans="1:9" x14ac:dyDescent="0.3">
      <c r="D1041" s="97" t="str">
        <f>CONCATENATE(УЧРЕЖДЕНИЯ!$A$12)</f>
        <v>спорт</v>
      </c>
      <c r="E1041" s="92" t="s">
        <v>822</v>
      </c>
      <c r="F1041" s="93">
        <v>345</v>
      </c>
      <c r="G1041" s="93">
        <v>244</v>
      </c>
      <c r="H1041" s="17" t="s">
        <v>188</v>
      </c>
      <c r="I1041" s="93" t="str">
        <f>IF(OR(F1041=152,F1041=162,F1041=510),IF((OR(LEFT(RIGHT(E1041,13),1)={"A","D","E","F","G","I","L","N","P","R","S","T","V"})),"Ф",""),"")</f>
        <v/>
      </c>
    </row>
    <row r="1042" spans="1:9" x14ac:dyDescent="0.3">
      <c r="D1042" s="48" t="str">
        <f>CONCATENATE(УЧРЕЖДЕНИЯ!$A$12)</f>
        <v>спорт</v>
      </c>
      <c r="E1042" s="92" t="s">
        <v>734</v>
      </c>
      <c r="F1042" s="93">
        <v>510</v>
      </c>
      <c r="G1042" s="93">
        <v>510</v>
      </c>
      <c r="H1042" s="17" t="s">
        <v>186</v>
      </c>
      <c r="I1042" s="93" t="str">
        <f>IF(OR(F1042=152,F1042=162,F1042=510),IF((OR(LEFT(RIGHT(E1042,13),1)={"A","D","E","F","G","I","L","N","P","R","S","T","V"})),"Ф",""),"")</f>
        <v>Ф</v>
      </c>
    </row>
    <row r="1043" spans="1:9" x14ac:dyDescent="0.3">
      <c r="D1043" s="97" t="str">
        <f>CONCATENATE(УЧРЕЖДЕНИЯ!$A$12)</f>
        <v>спорт</v>
      </c>
      <c r="E1043" s="49" t="s">
        <v>636</v>
      </c>
      <c r="F1043" s="98">
        <v>226</v>
      </c>
      <c r="G1043" s="98">
        <v>244</v>
      </c>
      <c r="H1043" s="99" t="s">
        <v>186</v>
      </c>
      <c r="I1043" s="93" t="str">
        <f>IF(OR(F1043=152,F1043=162,F1043=510),IF((OR(LEFT(RIGHT(E1043,13),1)={"A","D","E","F","G","I","L","N","P","R","S","T","V"})),"Ф",""),"")</f>
        <v/>
      </c>
    </row>
    <row r="1044" spans="1:9" x14ac:dyDescent="0.3">
      <c r="C1044" s="48" t="s">
        <v>133</v>
      </c>
      <c r="D1044" s="97" t="str">
        <f>CONCATENATE(УЧРЕЖДЕНИЯ!$A$10)</f>
        <v>газета</v>
      </c>
      <c r="E1044" s="49" t="s">
        <v>844</v>
      </c>
      <c r="F1044" s="98">
        <v>152</v>
      </c>
      <c r="G1044" s="98">
        <v>150</v>
      </c>
      <c r="H1044" s="99" t="s">
        <v>189</v>
      </c>
      <c r="I1044" s="93" t="str">
        <f>IF(OR(F1044=152,F1044=162,F1044=510),IF((OR(LEFT(RIGHT(E1044,13),1)={"A","D","E","F","G","I","L","N","P","R","S","T","V"})),"Ф",""),"")</f>
        <v/>
      </c>
    </row>
    <row r="1045" spans="1:9" x14ac:dyDescent="0.3">
      <c r="A1045" s="96">
        <f>ROW()</f>
        <v>1045</v>
      </c>
      <c r="B1045" s="96"/>
      <c r="C1045" s="96"/>
      <c r="D1045" s="96" t="str">
        <f>CONCATENATE(УЧРЕЖДЕНИЯ!$A$10)</f>
        <v>газета</v>
      </c>
      <c r="E1045" s="238" t="s">
        <v>845</v>
      </c>
      <c r="F1045" s="186">
        <v>310</v>
      </c>
      <c r="G1045" s="186">
        <v>244</v>
      </c>
      <c r="H1045" s="187" t="s">
        <v>189</v>
      </c>
      <c r="I1045" s="93" t="str">
        <f>IF(OR(F1045=152,F1045=162,F1045=510),IF((OR(LEFT(RIGHT(E1045,13),1)={"A","D","E","F","G","I","L","N","P","R","S","T","V"})),"Ф",""),"")</f>
        <v/>
      </c>
    </row>
    <row r="1046" spans="1:9" x14ac:dyDescent="0.3">
      <c r="E1046" s="48"/>
      <c r="F1046" s="48"/>
      <c r="G1046" s="48"/>
      <c r="H1046" s="48"/>
    </row>
    <row r="1047" spans="1:9" x14ac:dyDescent="0.3">
      <c r="E1047" s="48"/>
      <c r="F1047" s="48"/>
      <c r="G1047" s="48"/>
      <c r="H1047" s="48"/>
    </row>
    <row r="1048" spans="1:9" x14ac:dyDescent="0.3">
      <c r="E1048" s="48"/>
      <c r="F1048" s="48"/>
      <c r="G1048" s="48"/>
      <c r="H1048" s="93"/>
    </row>
    <row r="1049" spans="1:9" x14ac:dyDescent="0.3">
      <c r="D1049" s="97"/>
      <c r="E1049" s="97"/>
      <c r="F1049" s="97"/>
      <c r="G1049" s="97"/>
      <c r="H1049" s="98"/>
    </row>
    <row r="1050" spans="1:9" x14ac:dyDescent="0.3">
      <c r="E1050" s="49"/>
    </row>
    <row r="1051" spans="1:9" x14ac:dyDescent="0.3">
      <c r="E1051" s="49"/>
    </row>
    <row r="1052" spans="1:9" x14ac:dyDescent="0.3">
      <c r="E1052" s="49"/>
    </row>
    <row r="1053" spans="1:9" x14ac:dyDescent="0.3">
      <c r="E1053" s="49"/>
    </row>
    <row r="1054" spans="1:9" x14ac:dyDescent="0.3">
      <c r="E1054" s="49"/>
    </row>
    <row r="1055" spans="1:9" x14ac:dyDescent="0.3">
      <c r="E1055" s="49"/>
    </row>
    <row r="1056" spans="1:9" x14ac:dyDescent="0.3">
      <c r="E1056" s="49"/>
    </row>
    <row r="1057" spans="5:5" x14ac:dyDescent="0.3">
      <c r="E1057" s="49"/>
    </row>
    <row r="1058" spans="5:5" x14ac:dyDescent="0.3">
      <c r="E1058" s="49"/>
    </row>
    <row r="1059" spans="5:5" x14ac:dyDescent="0.3">
      <c r="E1059" s="49"/>
    </row>
    <row r="1060" spans="5:5" x14ac:dyDescent="0.3">
      <c r="E1060" s="49"/>
    </row>
    <row r="1061" spans="5:5" x14ac:dyDescent="0.3">
      <c r="E1061" s="49"/>
    </row>
    <row r="1062" spans="5:5" x14ac:dyDescent="0.3">
      <c r="E1062" s="49"/>
    </row>
    <row r="1063" spans="5:5" x14ac:dyDescent="0.3">
      <c r="E1063" s="49"/>
    </row>
    <row r="1064" spans="5:5" x14ac:dyDescent="0.3">
      <c r="E1064" s="49"/>
    </row>
    <row r="1065" spans="5:5" x14ac:dyDescent="0.3">
      <c r="E1065" s="49"/>
    </row>
    <row r="1066" spans="5:5" x14ac:dyDescent="0.3">
      <c r="E1066" s="49"/>
    </row>
    <row r="1067" spans="5:5" x14ac:dyDescent="0.3">
      <c r="E1067" s="49"/>
    </row>
    <row r="1068" spans="5:5" x14ac:dyDescent="0.3">
      <c r="E1068" s="49"/>
    </row>
    <row r="1069" spans="5:5" x14ac:dyDescent="0.3">
      <c r="E1069" s="49"/>
    </row>
    <row r="1070" spans="5:5" x14ac:dyDescent="0.3">
      <c r="E1070" s="49"/>
    </row>
    <row r="1071" spans="5:5" x14ac:dyDescent="0.3">
      <c r="E1071" s="49"/>
    </row>
    <row r="1072" spans="5:5" x14ac:dyDescent="0.3">
      <c r="E1072" s="49"/>
    </row>
    <row r="1073" spans="5:5" x14ac:dyDescent="0.3">
      <c r="E1073" s="49"/>
    </row>
    <row r="1074" spans="5:5" x14ac:dyDescent="0.3">
      <c r="E1074" s="49"/>
    </row>
    <row r="1075" spans="5:5" x14ac:dyDescent="0.3">
      <c r="E1075" s="49"/>
    </row>
    <row r="1076" spans="5:5" x14ac:dyDescent="0.3">
      <c r="E1076" s="49"/>
    </row>
    <row r="1077" spans="5:5" x14ac:dyDescent="0.3">
      <c r="E1077" s="49"/>
    </row>
    <row r="1078" spans="5:5" x14ac:dyDescent="0.3">
      <c r="E1078" s="49"/>
    </row>
    <row r="1079" spans="5:5" x14ac:dyDescent="0.3">
      <c r="E1079" s="49"/>
    </row>
    <row r="1080" spans="5:5" x14ac:dyDescent="0.3">
      <c r="E1080" s="49"/>
    </row>
    <row r="1081" spans="5:5" x14ac:dyDescent="0.3">
      <c r="E1081" s="49"/>
    </row>
    <row r="1097" spans="5:9" s="97" customFormat="1" x14ac:dyDescent="0.3">
      <c r="E1097" s="49"/>
      <c r="F1097" s="98"/>
      <c r="G1097" s="98"/>
      <c r="H1097" s="99"/>
      <c r="I1097" s="98"/>
    </row>
    <row r="1110" spans="4:8" x14ac:dyDescent="0.3">
      <c r="D1110" s="97"/>
      <c r="E1110" s="49"/>
      <c r="F1110" s="98"/>
      <c r="G1110" s="98"/>
      <c r="H1110" s="99"/>
    </row>
    <row r="1160" spans="4:9" s="97" customFormat="1" x14ac:dyDescent="0.3">
      <c r="D1160" s="48"/>
      <c r="E1160" s="92"/>
      <c r="F1160" s="93"/>
      <c r="G1160" s="93"/>
      <c r="H1160" s="17"/>
      <c r="I1160" s="98"/>
    </row>
    <row r="1162" spans="4:9" s="97" customFormat="1" x14ac:dyDescent="0.3">
      <c r="D1162" s="48"/>
      <c r="E1162" s="92"/>
      <c r="F1162" s="93"/>
      <c r="G1162" s="93"/>
      <c r="H1162" s="17"/>
      <c r="I1162" s="98"/>
    </row>
    <row r="1163" spans="4:9" s="97" customFormat="1" x14ac:dyDescent="0.3">
      <c r="D1163" s="48"/>
      <c r="E1163" s="92"/>
      <c r="F1163" s="93"/>
      <c r="G1163" s="93"/>
      <c r="H1163" s="17"/>
      <c r="I1163" s="98"/>
    </row>
  </sheetData>
  <sheetProtection algorithmName="SHA-512" hashValue="JCaAK7xrNhfCFbeBOmFuZHAtbQXJ8VAQxDukCuQftkofr9lAdNje0mjH7KH5BlK8uqW4P0LTyvxTwUAPFLlKxA==" saltValue="ZxUeaXvQ2eSJEf0+DXY3QQ==" spinCount="100000" sheet="1" formatCells="0" formatColumns="0" formatRows="0" insertColumns="0" insertRows="0" insertHyperlinks="0" deleteColumns="0" deleteRows="0" sort="0" autoFilter="0" pivotTables="0"/>
  <mergeCells count="1">
    <mergeCell ref="I2:I3"/>
  </mergeCells>
  <phoneticPr fontId="5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J94"/>
  <sheetViews>
    <sheetView topLeftCell="A67" zoomScaleNormal="100" workbookViewId="0">
      <selection activeCell="B94" sqref="B94"/>
    </sheetView>
  </sheetViews>
  <sheetFormatPr defaultRowHeight="14.4" x14ac:dyDescent="0.3"/>
  <cols>
    <col min="1" max="1" width="40" customWidth="1"/>
    <col min="2" max="2" width="11.109375" bestFit="1" customWidth="1"/>
    <col min="3" max="3" width="33.6640625" customWidth="1"/>
    <col min="5" max="5" width="11.44140625" customWidth="1"/>
    <col min="7" max="7" width="11.44140625" bestFit="1" customWidth="1"/>
  </cols>
  <sheetData>
    <row r="1" spans="1:8" x14ac:dyDescent="0.3">
      <c r="A1" s="545" t="s">
        <v>590</v>
      </c>
      <c r="B1" s="545"/>
      <c r="C1" s="545"/>
      <c r="D1" s="545"/>
      <c r="E1" s="545"/>
      <c r="F1" s="545"/>
      <c r="G1" s="546"/>
      <c r="H1" s="546"/>
    </row>
    <row r="2" spans="1:8" x14ac:dyDescent="0.3">
      <c r="A2" t="s">
        <v>196</v>
      </c>
    </row>
    <row r="3" spans="1:8" x14ac:dyDescent="0.3">
      <c r="A3" t="s">
        <v>140</v>
      </c>
      <c r="B3" t="s">
        <v>591</v>
      </c>
    </row>
    <row r="4" spans="1:8" x14ac:dyDescent="0.3">
      <c r="A4" t="s">
        <v>139</v>
      </c>
      <c r="B4" t="s">
        <v>592</v>
      </c>
    </row>
    <row r="5" spans="1:8" x14ac:dyDescent="0.3">
      <c r="A5" t="s">
        <v>593</v>
      </c>
      <c r="B5" s="85" t="s">
        <v>127</v>
      </c>
    </row>
    <row r="6" spans="1:8" x14ac:dyDescent="0.3">
      <c r="A6" t="s">
        <v>603</v>
      </c>
      <c r="B6" s="85" t="s">
        <v>602</v>
      </c>
    </row>
    <row r="7" spans="1:8" x14ac:dyDescent="0.3">
      <c r="A7" t="s">
        <v>631</v>
      </c>
      <c r="B7" s="85" t="s">
        <v>632</v>
      </c>
      <c r="C7" t="s">
        <v>634</v>
      </c>
      <c r="D7" t="s">
        <v>649</v>
      </c>
      <c r="E7" t="s">
        <v>635</v>
      </c>
      <c r="F7" t="s">
        <v>633</v>
      </c>
    </row>
    <row r="8" spans="1:8" x14ac:dyDescent="0.3">
      <c r="B8" s="85"/>
    </row>
    <row r="10" spans="1:8" x14ac:dyDescent="0.3">
      <c r="A10" s="545" t="s">
        <v>606</v>
      </c>
      <c r="B10" s="545"/>
      <c r="C10" s="545"/>
      <c r="D10" s="545"/>
      <c r="E10" s="545"/>
      <c r="F10" s="545"/>
      <c r="G10" s="546"/>
      <c r="H10" s="546"/>
    </row>
    <row r="11" spans="1:8" x14ac:dyDescent="0.3">
      <c r="A11" t="s">
        <v>607</v>
      </c>
      <c r="B11" t="s">
        <v>608</v>
      </c>
    </row>
    <row r="13" spans="1:8" x14ac:dyDescent="0.3">
      <c r="A13" s="545" t="s">
        <v>581</v>
      </c>
      <c r="B13" s="545"/>
      <c r="C13" s="545"/>
      <c r="D13" s="545"/>
      <c r="E13" s="545"/>
      <c r="F13" s="545"/>
      <c r="G13" s="546"/>
      <c r="H13" s="546"/>
    </row>
    <row r="14" spans="1:8" x14ac:dyDescent="0.3">
      <c r="A14" t="s">
        <v>533</v>
      </c>
    </row>
    <row r="15" spans="1:8" x14ac:dyDescent="0.3">
      <c r="A15" t="s">
        <v>534</v>
      </c>
      <c r="C15" s="84" t="e">
        <f>IF(AND(F18+G18+H18+I18+K18+J18=0,F59+#REF!+G59+I59+K59+J59=0,OR(F18&lt;&gt;0,G18&lt;&gt;0,H18&lt;&gt;0,I18&lt;&gt;0,K18&lt;&gt;0,J18&lt;&gt;0)),"",IF(AND(E18&gt;0,E59&gt;0,E18+E421=E59),"","НЕ ЗАПОЛНЕНО"))</f>
        <v>#VALUE!</v>
      </c>
    </row>
    <row r="16" spans="1:8" x14ac:dyDescent="0.3">
      <c r="A16" s="50" t="s">
        <v>535</v>
      </c>
    </row>
    <row r="17" spans="1:3" x14ac:dyDescent="0.3">
      <c r="A17" s="50" t="s">
        <v>536</v>
      </c>
    </row>
    <row r="18" spans="1:3" x14ac:dyDescent="0.3">
      <c r="A18" s="50"/>
    </row>
    <row r="19" spans="1:3" x14ac:dyDescent="0.3">
      <c r="A19" s="50" t="s">
        <v>537</v>
      </c>
    </row>
    <row r="20" spans="1:3" x14ac:dyDescent="0.3">
      <c r="A20" s="50" t="s">
        <v>538</v>
      </c>
    </row>
    <row r="21" spans="1:3" x14ac:dyDescent="0.3">
      <c r="A21" s="50"/>
    </row>
    <row r="22" spans="1:3" x14ac:dyDescent="0.3">
      <c r="A22" s="50" t="s">
        <v>539</v>
      </c>
    </row>
    <row r="23" spans="1:3" x14ac:dyDescent="0.3">
      <c r="A23" s="50" t="s">
        <v>540</v>
      </c>
    </row>
    <row r="24" spans="1:3" x14ac:dyDescent="0.3">
      <c r="A24" s="50" t="s">
        <v>541</v>
      </c>
    </row>
    <row r="25" spans="1:3" x14ac:dyDescent="0.3">
      <c r="A25" s="50" t="s">
        <v>542</v>
      </c>
    </row>
    <row r="27" spans="1:3" x14ac:dyDescent="0.3">
      <c r="A27" s="50" t="s">
        <v>543</v>
      </c>
      <c r="C27" s="81" t="e">
        <f>IF(AND(G18+G32+K32=G74+K74,H18+H32+L32=H74+L74,I18+I32+M32=I74+M74,J18+J32=J74),"","НЕ ВЕРНО")</f>
        <v>#VALUE!</v>
      </c>
    </row>
    <row r="28" spans="1:3" x14ac:dyDescent="0.3">
      <c r="A28" s="50" t="s">
        <v>544</v>
      </c>
    </row>
    <row r="29" spans="1:3" x14ac:dyDescent="0.3">
      <c r="A29" s="50" t="s">
        <v>545</v>
      </c>
    </row>
    <row r="30" spans="1:3" x14ac:dyDescent="0.3">
      <c r="A30" s="50" t="s">
        <v>546</v>
      </c>
    </row>
    <row r="31" spans="1:3" x14ac:dyDescent="0.3">
      <c r="A31" s="50" t="s">
        <v>547</v>
      </c>
    </row>
    <row r="33" spans="1:8" x14ac:dyDescent="0.3">
      <c r="A33" s="50" t="s">
        <v>561</v>
      </c>
      <c r="C33" s="1" t="s">
        <v>564</v>
      </c>
    </row>
    <row r="34" spans="1:8" x14ac:dyDescent="0.3">
      <c r="A34" s="50" t="s">
        <v>562</v>
      </c>
    </row>
    <row r="35" spans="1:8" x14ac:dyDescent="0.3">
      <c r="A35" s="50" t="s">
        <v>563</v>
      </c>
    </row>
    <row r="37" spans="1:8" x14ac:dyDescent="0.3">
      <c r="A37" s="545" t="s">
        <v>594</v>
      </c>
      <c r="B37" s="545"/>
      <c r="C37" s="545"/>
      <c r="D37" s="545"/>
      <c r="E37" s="545"/>
      <c r="F37" s="545"/>
      <c r="G37" s="546"/>
      <c r="H37" s="546"/>
    </row>
    <row r="38" spans="1:8" x14ac:dyDescent="0.3">
      <c r="A38" t="s">
        <v>575</v>
      </c>
      <c r="B38" t="s">
        <v>290</v>
      </c>
      <c r="C38" t="s">
        <v>577</v>
      </c>
    </row>
    <row r="39" spans="1:8" x14ac:dyDescent="0.3">
      <c r="A39" t="s">
        <v>576</v>
      </c>
      <c r="B39">
        <v>150</v>
      </c>
      <c r="C39">
        <v>152</v>
      </c>
    </row>
    <row r="40" spans="1:8" x14ac:dyDescent="0.3">
      <c r="C40">
        <v>162</v>
      </c>
    </row>
    <row r="41" spans="1:8" x14ac:dyDescent="0.3">
      <c r="C41" t="s">
        <v>580</v>
      </c>
    </row>
    <row r="42" spans="1:8" x14ac:dyDescent="0.3">
      <c r="A42" s="79" t="s">
        <v>578</v>
      </c>
      <c r="B42" s="80" t="s">
        <v>574</v>
      </c>
      <c r="C42" s="79" t="s">
        <v>579</v>
      </c>
      <c r="D42">
        <f>ROW()</f>
        <v>42</v>
      </c>
      <c r="E42" t="s">
        <v>583</v>
      </c>
    </row>
    <row r="43" spans="1:8" x14ac:dyDescent="0.3">
      <c r="A43" s="83" t="e">
        <f t="array" ref="A43">LEFT(C43,MIN(IF(ISNUMBER(-MID(C43,ROW($18:$31),1)),ROW($18:$31)))-2)</f>
        <v>#VALUE!</v>
      </c>
      <c r="B43" s="79" t="str">
        <f t="array" aca="1" ref="B43" ca="1">IFERROR(MID(C43,MATCH(TRUE,ISNUMBER(MID(C43,ROW(INDIRECT("1:"&amp;LEN(C43))),1)*1),0),10),"")</f>
        <v/>
      </c>
      <c r="C43" s="82" t="str">
        <f t="array" ref="C43:C55">IFERROR(INDEX(КБК!E1023:E1045,SMALL(IF((($C$39=КБК!F1024:F1045)*($B$39=КБК!G1024:G1045)*(NOT(ISERR(SEARCH(ПОКАЗАТЕЛИ!$O$1,КБК!D1024:D1045))))),ROW(КБК!E1023:E1045)-КБК!A884,""),ROW()-$D$42)),"")</f>
        <v/>
      </c>
      <c r="E43" t="str">
        <f t="array" ref="E43:E55">IFERROR(INDEX(КБК!E1023:E1045,SMALL(IF(((OR(($C$39=КБК!F1024:F1045),($C$40=КБК!F1024:F1045)))*($B$39=КБК!G1024:G1045)*(NOT(ISERR(SEARCH(ПОКАЗАТЕЛИ!O1,КБК!D1024:D1045))))),ROW(КБК!E1023:E1045)-КБК!A884,""),ROW()-$D$42)),"")</f>
        <v/>
      </c>
    </row>
    <row r="44" spans="1:8" x14ac:dyDescent="0.3">
      <c r="A44" s="83" t="e">
        <f t="array" ref="A44">LEFT(C44,MIN(IF(ISNUMBER(-MID(C44,ROW($18:$31),1)),ROW($18:$31)))-2)</f>
        <v>#VALUE!</v>
      </c>
      <c r="B44" s="79" t="str">
        <f t="array" aca="1" ref="B44" ca="1">IFERROR(MID(C44,MATCH(TRUE,ISNUMBER(MID(C44,ROW(INDIRECT("1:"&amp;LEN(C44))),1)*1),0),10),"")</f>
        <v/>
      </c>
      <c r="C44" s="83" t="str">
        <v/>
      </c>
      <c r="E44" t="str">
        <v/>
      </c>
    </row>
    <row r="45" spans="1:8" x14ac:dyDescent="0.3">
      <c r="A45" s="83" t="e">
        <f t="array" ref="A45">LEFT(C45,MIN(IF(ISNUMBER(-MID(C45,ROW($18:$31),1)),ROW($18:$31)))-2)</f>
        <v>#VALUE!</v>
      </c>
      <c r="B45" s="79" t="str">
        <f t="array" aca="1" ref="B45" ca="1">IFERROR(MID(C45,MATCH(TRUE,ISNUMBER(MID(C45,ROW(INDIRECT("1:"&amp;LEN(C45))),1)*1),0),10),"")</f>
        <v/>
      </c>
      <c r="C45" s="83" t="str">
        <v/>
      </c>
      <c r="E45" t="str">
        <v/>
      </c>
    </row>
    <row r="46" spans="1:8" x14ac:dyDescent="0.3">
      <c r="A46" s="83" t="e">
        <f t="array" ref="A46">LEFT(C46,MIN(IF(ISNUMBER(-MID(C46,ROW($18:$31),1)),ROW($18:$31)))-2)</f>
        <v>#VALUE!</v>
      </c>
      <c r="B46" s="79" t="str">
        <f t="array" aca="1" ref="B46" ca="1">IFERROR(MID(C46,MATCH(TRUE,ISNUMBER(MID(C46,ROW(INDIRECT("1:"&amp;LEN(C46))),1)*1),0),10),"")</f>
        <v/>
      </c>
      <c r="C46" s="83" t="str">
        <v/>
      </c>
      <c r="E46" t="str">
        <v/>
      </c>
    </row>
    <row r="47" spans="1:8" x14ac:dyDescent="0.3">
      <c r="A47" s="83" t="e">
        <f t="array" ref="A47">LEFT(C47,MIN(IF(ISNUMBER(-MID(C47,ROW($18:$31),1)),ROW($18:$31)))-2)</f>
        <v>#VALUE!</v>
      </c>
      <c r="B47" s="79" t="str">
        <f t="array" aca="1" ref="B47" ca="1">IFERROR(MID(C47,MATCH(TRUE,ISNUMBER(MID(C47,ROW(INDIRECT("1:"&amp;LEN(C47))),1)*1),0),10),"")</f>
        <v/>
      </c>
      <c r="C47" s="83" t="str">
        <v/>
      </c>
      <c r="E47" t="str">
        <v/>
      </c>
    </row>
    <row r="48" spans="1:8" x14ac:dyDescent="0.3">
      <c r="A48" s="83" t="e">
        <f t="array" ref="A48">LEFT(C48,MIN(IF(ISNUMBER(-MID(C48,ROW($18:$31),1)),ROW($18:$31)))-2)</f>
        <v>#VALUE!</v>
      </c>
      <c r="B48" s="79" t="str">
        <f t="array" aca="1" ref="B48" ca="1">IFERROR(MID(C48,MATCH(TRUE,ISNUMBER(MID(C48,ROW(INDIRECT("1:"&amp;LEN(C48))),1)*1),0),10),"")</f>
        <v/>
      </c>
      <c r="C48" s="83" t="str">
        <v/>
      </c>
      <c r="E48" t="str">
        <v/>
      </c>
    </row>
    <row r="49" spans="1:10" x14ac:dyDescent="0.3">
      <c r="A49" s="83" t="e">
        <f t="array" ref="A49">LEFT(C49,MIN(IF(ISNUMBER(-MID(C49,ROW($18:$31),1)),ROW($18:$31)))-2)</f>
        <v>#VALUE!</v>
      </c>
      <c r="B49" s="79" t="str">
        <f t="array" aca="1" ref="B49" ca="1">IFERROR(MID(C49,MATCH(TRUE,ISNUMBER(MID(C49,ROW(INDIRECT("1:"&amp;LEN(C49))),1)*1),0),10),"")</f>
        <v/>
      </c>
      <c r="C49" s="83" t="str">
        <v/>
      </c>
      <c r="E49" t="str">
        <v/>
      </c>
    </row>
    <row r="50" spans="1:10" x14ac:dyDescent="0.3">
      <c r="A50" s="83" t="e">
        <f t="array" ref="A50">LEFT(C50,MIN(IF(ISNUMBER(-MID(C50,ROW($18:$31),1)),ROW($18:$31)))-2)</f>
        <v>#VALUE!</v>
      </c>
      <c r="B50" s="79" t="str">
        <f t="array" aca="1" ref="B50" ca="1">IFERROR(MID(C50,MATCH(TRUE,ISNUMBER(MID(C50,ROW(INDIRECT("1:"&amp;LEN(C50))),1)*1),0),10),"")</f>
        <v/>
      </c>
      <c r="C50" s="83" t="str">
        <v/>
      </c>
      <c r="E50" t="str">
        <v/>
      </c>
    </row>
    <row r="51" spans="1:10" x14ac:dyDescent="0.3">
      <c r="A51" s="83" t="e">
        <f t="array" ref="A51">LEFT(C51,MIN(IF(ISNUMBER(-MID(C51,ROW($18:$31),1)),ROW($18:$31)))-2)</f>
        <v>#VALUE!</v>
      </c>
      <c r="B51" s="79" t="str">
        <f t="array" aca="1" ref="B51" ca="1">IFERROR(MID(C51,MATCH(TRUE,ISNUMBER(MID(C51,ROW(INDIRECT("1:"&amp;LEN(C51))),1)*1),0),10),"")</f>
        <v/>
      </c>
      <c r="C51" s="83" t="str">
        <v/>
      </c>
      <c r="E51" t="str">
        <v/>
      </c>
    </row>
    <row r="52" spans="1:10" x14ac:dyDescent="0.3">
      <c r="A52" s="79" t="e">
        <f t="array" ref="A52">LEFT(C52,MIN(IF(ISNUMBER(-MID(C52,ROW($18:$31),1)),ROW($18:$31)))-2)</f>
        <v>#VALUE!</v>
      </c>
      <c r="B52" s="79" t="str">
        <f t="array" aca="1" ref="B52" ca="1">IFERROR(MID(C52,MATCH(TRUE,ISNUMBER(MID(C52,ROW(INDIRECT("1:"&amp;LEN(C52))),1)*1),0),10),"")</f>
        <v/>
      </c>
      <c r="C52" s="79" t="str">
        <v/>
      </c>
      <c r="E52" t="str">
        <v/>
      </c>
    </row>
    <row r="53" spans="1:10" x14ac:dyDescent="0.3">
      <c r="A53" s="79" t="e">
        <f t="array" ref="A53">LEFT(C53,MIN(IF(ISNUMBER(-MID(C53,ROW($18:$31),1)),ROW($18:$31)))-2)</f>
        <v>#VALUE!</v>
      </c>
      <c r="B53" s="79" t="str">
        <f t="array" aca="1" ref="B53" ca="1">IFERROR(MID(C53,MATCH(TRUE,ISNUMBER(MID(C53,ROW(INDIRECT("1:"&amp;LEN(C53))),1)*1),0),10),"")</f>
        <v/>
      </c>
      <c r="C53" s="79" t="str">
        <v/>
      </c>
      <c r="E53" t="str">
        <v/>
      </c>
    </row>
    <row r="54" spans="1:10" x14ac:dyDescent="0.3">
      <c r="A54" s="79" t="e">
        <f t="array" ref="A54">LEFT(C54,MIN(IF(ISNUMBER(-MID(C54,ROW($18:$31),1)),ROW($18:$31)))-2)</f>
        <v>#VALUE!</v>
      </c>
      <c r="B54" s="79" t="str">
        <f t="array" aca="1" ref="B54" ca="1">IFERROR(MID(C54,MATCH(TRUE,ISNUMBER(MID(C54,ROW(INDIRECT("1:"&amp;LEN(C54))),1)*1),0),10),"")</f>
        <v/>
      </c>
      <c r="C54" s="79" t="str">
        <v/>
      </c>
      <c r="E54" t="str">
        <v/>
      </c>
    </row>
    <row r="55" spans="1:10" x14ac:dyDescent="0.3">
      <c r="A55" s="79" t="e">
        <f t="array" ref="A55">LEFT(C55,MIN(IF(ISNUMBER(-MID(C55,ROW($18:$31),1)),ROW($18:$31)))-2)</f>
        <v>#VALUE!</v>
      </c>
      <c r="B55" s="79" t="str">
        <f t="array" aca="1" ref="B55" ca="1">IFERROR(MID(C55,MATCH(TRUE,ISNUMBER(MID(C55,ROW(INDIRECT("1:"&amp;LEN(C55))),1)*1),0),10),"")</f>
        <v/>
      </c>
      <c r="C55" s="79" t="str">
        <v/>
      </c>
      <c r="E55" t="str">
        <v/>
      </c>
    </row>
    <row r="56" spans="1:10" x14ac:dyDescent="0.3">
      <c r="C56" t="s">
        <v>582</v>
      </c>
    </row>
    <row r="57" spans="1:10" x14ac:dyDescent="0.3">
      <c r="A57" s="79" t="s">
        <v>304</v>
      </c>
      <c r="B57" s="79">
        <v>150</v>
      </c>
      <c r="C57" s="79">
        <v>152</v>
      </c>
      <c r="D57" s="79">
        <f>ROW()</f>
        <v>57</v>
      </c>
      <c r="E57" t="s">
        <v>584</v>
      </c>
      <c r="J57" t="s">
        <v>587</v>
      </c>
    </row>
    <row r="58" spans="1:10" x14ac:dyDescent="0.3">
      <c r="A58" s="83" t="str">
        <f t="array" ref="A58:A68">IFERROR(INDEX(КБК!E1023:E1045,SMALL(IF((($C$57=КБК!F1024:F1045)*($B$57=КБК!G1024:G1045)*(NOT(ISERR(SEARCH(ПОКАЗАТЕЛИ!$O$1,КБК!D1024:D1045))))),ROW(КБК!E1023:E1045)-КБК!A884,""),ROW()-$D$57)),"")</f>
        <v/>
      </c>
      <c r="B58" s="79" t="str">
        <f ca="1">IFERROR(MID(I58,MATCH(TRUE,ISNUMBER(MID(I58,ROW(INDIRECT("1:"&amp;LEN(I58))),1)*1),0),10),"")</f>
        <v/>
      </c>
      <c r="C58" s="79" t="e">
        <f t="array" ref="C58">LEFT((IFERROR(INDEX(КБК!E1023:E1045,SMALL(IF(((152=КБК!F1024:F1045)*("Ф"=КБК!I1023:I1045)*(NOT(ISERR(SEARCH(ПОКАЗАТЕЛИ!$O$1,КБК!D1024:D1045))))),ROW(КБК!E1023:E1045)-КБК!A884,""),ROW()-$D$57)),"")),MIN(IF(ISNUMBER(-MID((IFERROR(INDEX(КБК!E1023:E1045,SMALL(IF(((152=КБК!F1024:F1045)*("Ф"=КБК!I1023:I1045)*(NOT(ISERR(SEARCH(ПОКАЗАТЕЛИ!$O$1,КБК!D1024:D1045))))),ROW(КБК!E1023:E1045)-КБК!A884,""),ROW()-$D$57)),"")),ROW($18:$31),1)),ROW($18:$31)))-2)</f>
        <v>#VALUE!</v>
      </c>
      <c r="D58" s="79"/>
      <c r="E58" t="str">
        <f>IF(OR(LEFT(RIGHT(A58,13),1)={"A","D","E","F","G","I","L","N","P","R","S","T","V"}),"Ф","")</f>
        <v/>
      </c>
      <c r="F58" t="str">
        <f t="array" ref="F58:F68">IF(OR(LEFT(RIGHT((IFERROR(INDEX(КБК!E1023:E1045,SMALL(IF((($C$57=КБК!F1024:F1045)*($B$57=КБК!G1024:G1045)*(NOT(ISERR(SEARCH(ПОКАЗАТЕЛИ!$O$1,КБК!D1024:D1045))))),ROW(КБК!E1023:E1045)-КБК!A884,""),ROW()-$D$57)),"")),13),1)={"A","D","E","F","G","I","L","N","P","R","S","T","V"}),"ДА","НЕТ")</f>
        <v>НЕТ</v>
      </c>
      <c r="G58" t="b">
        <f t="array" ref="G58">OR(LEFT(RIGHT((IFERROR(INDEX(КБК!E1023:E1045,SMALL(IF((($C$57=КБК!F1024:F1045)*($B$57=КБК!G1024:G1045)*(NOT(ISERR(SEARCH(ПОКАЗАТЕЛИ!$O$1,КБК!D1024:D1045))))),ROW(КБК!E1023:E1045)-КБК!A884,""),ROW()-$D$57)),"")),13),1)={"A","D","E","F","G","I","L","N","P","R","S","T","V"})</f>
        <v>0</v>
      </c>
      <c r="I58" s="51" t="str">
        <f t="array" ref="I58:I68">IFERROR(INDEX(КБК!E1023:E1045,SMALL(IF(((152=КБК!F1024:F1045)*("Ф"=КБК!I1023:I1045)*(NOT(ISERR(SEARCH(ПОКАЗАТЕЛИ!$O$1,КБК!D1024:D1045))))),ROW(КБК!E1023:E1045)-КБК!A884,""),ROW()-$D$57)),"")</f>
        <v/>
      </c>
    </row>
    <row r="59" spans="1:10" x14ac:dyDescent="0.3">
      <c r="A59" s="83" t="str">
        <v/>
      </c>
      <c r="B59" s="79" t="str">
        <f t="array" aca="1" ref="B59" ca="1">IFERROR(MID(I59,MATCH(TRUE,ISNUMBER(MID(I59,ROW(INDIRECT("1:"&amp;LEN(I59))),1)*1),0),10),"")</f>
        <v/>
      </c>
      <c r="C59" s="79" t="e">
        <f t="array" ref="C59">LEFT(I59,MIN(IF(ISNUMBER(-MID(I59,ROW($18:$31),1)),ROW($18:$31)))-2)</f>
        <v>#VALUE!</v>
      </c>
      <c r="D59" s="79"/>
      <c r="E59" t="str">
        <f>IF(OR(LEFT(RIGHT(A59,13),1)={"A","D","E","F","G","I","L","N","P","R","S","T","V"}),"Ф","")</f>
        <v/>
      </c>
      <c r="F59" t="str">
        <v>НЕТ</v>
      </c>
      <c r="G59" t="b">
        <f t="array" ref="G59">OR(LEFT(RIGHT(A59,13),1)={"A","D","E","F","G","I","L","N","P","R","S","T","V"})</f>
        <v>0</v>
      </c>
      <c r="I59" s="51" t="str">
        <v/>
      </c>
    </row>
    <row r="60" spans="1:10" x14ac:dyDescent="0.3">
      <c r="A60" s="83" t="str">
        <v/>
      </c>
      <c r="B60" s="79" t="str">
        <f t="array" aca="1" ref="B60" ca="1">IFERROR(MID(I60,MATCH(TRUE,ISNUMBER(MID(I60,ROW(INDIRECT("1:"&amp;LEN(I60))),1)*1),0),10),"")</f>
        <v/>
      </c>
      <c r="C60" s="79" t="e">
        <f t="array" ref="C60">LEFT(I60,MIN(IF(ISNUMBER(-MID(I60,ROW($18:$31),1)),ROW($18:$31)))-2)</f>
        <v>#VALUE!</v>
      </c>
      <c r="D60" s="79"/>
      <c r="E60" t="str">
        <f>IF(OR(LEFT(RIGHT(A60,13),1)={"A","D","E","F","G","I","L","N","P","R","S","T","V"}),"Ф","")</f>
        <v/>
      </c>
      <c r="F60" t="str">
        <v>НЕТ</v>
      </c>
      <c r="G60" t="b">
        <f t="array" ref="G60">OR(LEFT(RIGHT(A60,13),1)={"A","D","E","F","G","I","L","N","P","R","S","T","V"})</f>
        <v>0</v>
      </c>
      <c r="I60" s="51" t="str">
        <v/>
      </c>
    </row>
    <row r="61" spans="1:10" x14ac:dyDescent="0.3">
      <c r="A61" s="83" t="str">
        <v/>
      </c>
      <c r="B61" s="79" t="str">
        <f t="array" aca="1" ref="B61" ca="1">IFERROR(MID(I61,MATCH(TRUE,ISNUMBER(MID(I61,ROW(INDIRECT("1:"&amp;LEN(I61))),1)*1),0),10),"")</f>
        <v/>
      </c>
      <c r="C61" s="79" t="e">
        <f t="array" ref="C61">LEFT(I61,MIN(IF(ISNUMBER(-MID(I61,ROW($18:$31),1)),ROW($18:$31)))-2)</f>
        <v>#VALUE!</v>
      </c>
      <c r="D61" s="79"/>
      <c r="E61" t="str">
        <f>IF(OR(LEFT(RIGHT(A61,13),1)={"A","D","E","F","G","I","L","N","P","R","S","T","V"}),"Ф","")</f>
        <v/>
      </c>
      <c r="F61" t="str">
        <v>НЕТ</v>
      </c>
      <c r="G61" t="b">
        <f t="array" ref="G61">OR(LEFT(RIGHT(A61,13),1)={"A","D","E","F","G","I","L","N","P","R","S","T","V"})</f>
        <v>0</v>
      </c>
      <c r="I61" s="51" t="str">
        <v/>
      </c>
    </row>
    <row r="62" spans="1:10" x14ac:dyDescent="0.3">
      <c r="A62" s="83" t="str">
        <v/>
      </c>
      <c r="B62" s="79" t="str">
        <f t="array" aca="1" ref="B62" ca="1">IFERROR(MID(I62,MATCH(TRUE,ISNUMBER(MID(I62,ROW(INDIRECT("1:"&amp;LEN(I62))),1)*1),0),10),"")</f>
        <v/>
      </c>
      <c r="C62" s="79" t="e">
        <f t="array" ref="C62">LEFT(I62,MIN(IF(ISNUMBER(-MID(I62,ROW($18:$31),1)),ROW($18:$31)))-2)</f>
        <v>#VALUE!</v>
      </c>
      <c r="D62" s="79"/>
      <c r="E62" t="str">
        <f>IF(OR(LEFT(RIGHT(A62,13),1)={"A","D","E","F","G","I","L","N","P","R","S","T","V"}),"Ф","")</f>
        <v/>
      </c>
      <c r="F62" t="str">
        <v>НЕТ</v>
      </c>
      <c r="G62" t="b">
        <f t="array" ref="G62">OR(LEFT(RIGHT(A62,13),1)={"A","D","E","F","G","I","L","N","P","R","S","T","V"})</f>
        <v>0</v>
      </c>
      <c r="I62" s="51" t="str">
        <v/>
      </c>
    </row>
    <row r="63" spans="1:10" x14ac:dyDescent="0.3">
      <c r="A63" s="83" t="str">
        <v/>
      </c>
      <c r="B63" s="79" t="str">
        <f t="array" aca="1" ref="B63" ca="1">IFERROR(MID(I63,MATCH(TRUE,ISNUMBER(MID(I63,ROW(INDIRECT("1:"&amp;LEN(I63))),1)*1),0),10),"")</f>
        <v/>
      </c>
      <c r="C63" s="79" t="e">
        <f t="array" ref="C63">LEFT(I63,MIN(IF(ISNUMBER(-MID(I63,ROW($18:$31),1)),ROW($18:$31)))-2)</f>
        <v>#VALUE!</v>
      </c>
      <c r="D63" s="79"/>
      <c r="E63" t="str">
        <f>IF(OR(LEFT(RIGHT(A63,13),1)={"A","D","E","F","G","I","L","N","P","R","S","T","V"}),"Ф","")</f>
        <v/>
      </c>
      <c r="F63" t="str">
        <v>НЕТ</v>
      </c>
      <c r="G63" t="b">
        <f t="array" ref="G63">OR(LEFT(RIGHT(A63,13),1)={"A","D","E","F","G","I","L","N","P","R","S","T","V"})</f>
        <v>0</v>
      </c>
      <c r="I63" s="51" t="str">
        <v/>
      </c>
    </row>
    <row r="64" spans="1:10" x14ac:dyDescent="0.3">
      <c r="A64" s="83" t="str">
        <v/>
      </c>
      <c r="B64" s="79" t="str">
        <f t="array" aca="1" ref="B64" ca="1">IFERROR(MID(I64,MATCH(TRUE,ISNUMBER(MID(I64,ROW(INDIRECT("1:"&amp;LEN(I64))),1)*1),0),10),"")</f>
        <v/>
      </c>
      <c r="C64" s="79" t="e">
        <f t="array" ref="C64">LEFT(I64,MIN(IF(ISNUMBER(-MID(I64,ROW($18:$31),1)),ROW($18:$31)))-2)</f>
        <v>#VALUE!</v>
      </c>
      <c r="D64" s="79"/>
      <c r="E64" t="str">
        <f>IF(OR(LEFT(RIGHT(A64,13),1)={"A","D","E","F","G","I","L","N","P","R","S","T","V"}),"Ф","")</f>
        <v/>
      </c>
      <c r="F64" t="str">
        <v>НЕТ</v>
      </c>
      <c r="G64" t="b">
        <f t="array" ref="G64">OR(LEFT(RIGHT(A64,13),1)={"A","D","E","F","G","I","L","N","P","R","S","T","V"})</f>
        <v>0</v>
      </c>
      <c r="I64" s="51" t="str">
        <v/>
      </c>
    </row>
    <row r="65" spans="1:9" x14ac:dyDescent="0.3">
      <c r="A65" s="83" t="str">
        <v/>
      </c>
      <c r="B65" s="79" t="str">
        <f t="array" aca="1" ref="B65" ca="1">IFERROR(MID(I65,MATCH(TRUE,ISNUMBER(MID(I65,ROW(INDIRECT("1:"&amp;LEN(I65))),1)*1),0),10),"")</f>
        <v/>
      </c>
      <c r="C65" s="79" t="e">
        <f t="array" ref="C65">LEFT(I65,MIN(IF(ISNUMBER(-MID(I65,ROW($18:$31),1)),ROW($18:$31)))-2)</f>
        <v>#VALUE!</v>
      </c>
      <c r="D65" s="79"/>
      <c r="E65" t="str">
        <f>IF(OR(LEFT(RIGHT(A65,13),1)={"A","D","E","F","G","I","L","N","P","R","S","T","V"}),"Ф","")</f>
        <v/>
      </c>
      <c r="F65" t="str">
        <v>НЕТ</v>
      </c>
      <c r="G65" t="b">
        <f t="array" ref="G65">OR(LEFT(RIGHT(A65,13),1)={"A","D","E","F","G","I","L","N","P","R","S","T","V"})</f>
        <v>0</v>
      </c>
      <c r="I65" s="51" t="str">
        <v/>
      </c>
    </row>
    <row r="66" spans="1:9" x14ac:dyDescent="0.3">
      <c r="A66" s="83" t="str">
        <v/>
      </c>
      <c r="B66" s="79" t="str">
        <f t="array" aca="1" ref="B66" ca="1">IFERROR(MID(I66,MATCH(TRUE,ISNUMBER(MID(I66,ROW(INDIRECT("1:"&amp;LEN(I66))),1)*1),0),10),"")</f>
        <v/>
      </c>
      <c r="C66" s="79" t="e">
        <f t="array" ref="C66">LEFT(I66,MIN(IF(ISNUMBER(-MID(I66,ROW($18:$31),1)),ROW($18:$31)))-2)</f>
        <v>#VALUE!</v>
      </c>
      <c r="D66" s="79"/>
      <c r="E66" t="str">
        <f>IF(OR(LEFT(RIGHT(A66,13),1)={"A","D","E","F","G","I","L","N","P","R","S","T","V"}),"Ф","")</f>
        <v/>
      </c>
      <c r="F66" t="str">
        <v>НЕТ</v>
      </c>
      <c r="G66" t="b">
        <f t="array" ref="G66">OR(LEFT(RIGHT(A66,13),1)={"A","D","E","F","G","I","L","N","P","R","S","T","V"})</f>
        <v>0</v>
      </c>
      <c r="I66" s="51" t="str">
        <v/>
      </c>
    </row>
    <row r="67" spans="1:9" x14ac:dyDescent="0.3">
      <c r="A67" s="83" t="str">
        <v/>
      </c>
      <c r="B67" s="79" t="str">
        <f t="array" aca="1" ref="B67" ca="1">IFERROR(MID(I67,MATCH(TRUE,ISNUMBER(MID(I67,ROW(INDIRECT("1:"&amp;LEN(I67))),1)*1),0),10),"")</f>
        <v/>
      </c>
      <c r="C67" s="79" t="e">
        <f t="array" ref="C67">LEFT(I67,MIN(IF(ISNUMBER(-MID(I67,ROW($18:$31),1)),ROW($18:$31)))-2)</f>
        <v>#VALUE!</v>
      </c>
      <c r="D67" s="79"/>
      <c r="E67" t="str">
        <f>IF(OR(LEFT(RIGHT(A67,13),1)={"A","D","E","F","G","I","L","N","P","R","S","T","V"}),"Ф","")</f>
        <v/>
      </c>
      <c r="F67" t="str">
        <v>НЕТ</v>
      </c>
      <c r="G67" t="b">
        <f t="array" ref="G67">OR(LEFT(RIGHT(A67,13),1)={"A","D","E","F","G","I","L","N","P","R","S","T","V"})</f>
        <v>0</v>
      </c>
      <c r="I67" s="51" t="str">
        <v/>
      </c>
    </row>
    <row r="68" spans="1:9" x14ac:dyDescent="0.3">
      <c r="A68" s="83" t="str">
        <v/>
      </c>
      <c r="B68" s="79" t="str">
        <f t="array" aca="1" ref="B68" ca="1">IFERROR(MID(I68,MATCH(TRUE,ISNUMBER(MID(I68,ROW(INDIRECT("1:"&amp;LEN(I68))),1)*1),0),10),"")</f>
        <v/>
      </c>
      <c r="C68" s="79" t="e">
        <f t="array" ref="C68">LEFT(I68,MIN(IF(ISNUMBER(-MID(I68,ROW($18:$31),1)),ROW($18:$31)))-2)</f>
        <v>#VALUE!</v>
      </c>
      <c r="D68" s="79"/>
      <c r="E68" t="str">
        <f>IF(OR(LEFT(RIGHT(A68,13),1)={"A","D","E","F","G","I","L","N","P","R","S","T","V"}),"Ф","")</f>
        <v/>
      </c>
      <c r="F68" t="str">
        <v>НЕТ</v>
      </c>
      <c r="G68" t="b">
        <f t="array" ref="G68">OR(LEFT(RIGHT(A68,13),1)={"A","D","E","F","G","I","L","N","P","R","S","T","V"})</f>
        <v>0</v>
      </c>
      <c r="I68" s="51" t="str">
        <v/>
      </c>
    </row>
    <row r="69" spans="1:9" x14ac:dyDescent="0.3">
      <c r="A69" s="79" t="s">
        <v>320</v>
      </c>
      <c r="B69" s="79">
        <v>150</v>
      </c>
      <c r="C69" s="79">
        <v>162</v>
      </c>
      <c r="D69" s="79">
        <f>ROW()</f>
        <v>69</v>
      </c>
    </row>
    <row r="70" spans="1:9" x14ac:dyDescent="0.3">
      <c r="A70" s="79" t="str">
        <f t="array" ref="A70:A77">IFERROR(INDEX(КБК!E1023:E1045,SMALL(IF((($C$69=КБК!F1024:F1045)*($B$69=КБК!G1024:G1045)*(NOT(ISERR(SEARCH(ПОКАЗАТЕЛИ!$O$1,КБК!D1024:D1045))))),ROW(КБК!E1023:E1045)-КБК!A884,""),ROW()-$D$69)),"")</f>
        <v/>
      </c>
      <c r="B70" s="79"/>
      <c r="C70" s="79"/>
      <c r="D70" s="79"/>
      <c r="E70" t="str">
        <f>IF(OR(LEFT(RIGHT(A70,13),1)={"A","D","E","F","G","I","L","N","P","R","S","T","V"}),"Ф","")</f>
        <v/>
      </c>
      <c r="I70" t="str">
        <f t="array" ref="I70:I77">IFERROR(INDEX(КБК!E1023:E1045,SMALL(IF(((162=КБК!F1024:F1045)*("Ф"=КБК!I1023:I1045)*(NOT(ISERR(SEARCH(ПОКАЗАТЕЛИ!$O$1,КБК!D1024:D1045))))),ROW(КБК!E1023:E1045)-КБК!A884,""),ROW()-$D$69)),"")</f>
        <v/>
      </c>
    </row>
    <row r="71" spans="1:9" x14ac:dyDescent="0.3">
      <c r="A71" s="79" t="str">
        <v/>
      </c>
      <c r="B71" s="79"/>
      <c r="C71" s="79"/>
      <c r="D71" s="79"/>
      <c r="E71" t="str">
        <f>IF(OR(LEFT(RIGHT(A71,13),1)={"A","D","E","F","G","I","L","N","P","R","S","T","V"}),"Ф","")</f>
        <v/>
      </c>
      <c r="I71" t="str">
        <v/>
      </c>
    </row>
    <row r="72" spans="1:9" x14ac:dyDescent="0.3">
      <c r="A72" s="79" t="str">
        <v/>
      </c>
      <c r="B72" s="79"/>
      <c r="C72" s="79"/>
      <c r="D72" s="79"/>
      <c r="E72" t="str">
        <f>IF(OR(LEFT(RIGHT(A72,13),1)={"A","D","E","F","G","I","L","N","P","R","S","T","V"}),"Ф","")</f>
        <v/>
      </c>
      <c r="I72" t="str">
        <v/>
      </c>
    </row>
    <row r="73" spans="1:9" x14ac:dyDescent="0.3">
      <c r="A73" s="79" t="str">
        <v/>
      </c>
      <c r="B73" s="79"/>
      <c r="C73" s="79"/>
      <c r="D73" s="79"/>
      <c r="E73" t="str">
        <f>IF(OR(LEFT(RIGHT(A73,13),1)={"A","D","E","F","G","I","L","N","P","R","S","T","V"}),"Ф","")</f>
        <v/>
      </c>
      <c r="I73" t="str">
        <v/>
      </c>
    </row>
    <row r="74" spans="1:9" x14ac:dyDescent="0.3">
      <c r="A74" s="79" t="str">
        <v/>
      </c>
      <c r="B74" s="79"/>
      <c r="C74" s="79"/>
      <c r="D74" s="79"/>
      <c r="E74" t="str">
        <f>IF(OR(LEFT(RIGHT(A74,13),1)={"A","D","E","F","G","I","L","N","P","R","S","T","V"}),"Ф","")</f>
        <v/>
      </c>
      <c r="F74">
        <v>173</v>
      </c>
      <c r="G74">
        <f>IF({152.162}=F73:F75,1,2)</f>
        <v>2</v>
      </c>
      <c r="I74" t="str">
        <v/>
      </c>
    </row>
    <row r="75" spans="1:9" x14ac:dyDescent="0.3">
      <c r="A75" s="79" t="str">
        <v/>
      </c>
      <c r="B75" s="79"/>
      <c r="C75" s="79"/>
      <c r="D75" s="79"/>
      <c r="E75" t="str">
        <f>IF(OR(LEFT(RIGHT(A75,13),1)={"A","D","E","F","G","I","L","N","P","R","S","T","V"}),"Ф","")</f>
        <v/>
      </c>
      <c r="F75">
        <v>162</v>
      </c>
      <c r="I75" t="str">
        <v/>
      </c>
    </row>
    <row r="76" spans="1:9" x14ac:dyDescent="0.3">
      <c r="A76" s="79" t="str">
        <v/>
      </c>
      <c r="B76" s="79"/>
      <c r="C76" s="79"/>
      <c r="D76" s="79"/>
      <c r="E76" t="str">
        <f>IF(OR(LEFT(RIGHT(A76,13),1)={"A","D","E","F","G","I","L","N","P","R","S","T","V"}),"Ф","")</f>
        <v/>
      </c>
      <c r="F76">
        <v>173</v>
      </c>
      <c r="I76" t="str">
        <v/>
      </c>
    </row>
    <row r="77" spans="1:9" x14ac:dyDescent="0.3">
      <c r="A77" s="79" t="str">
        <v/>
      </c>
      <c r="B77" s="79"/>
      <c r="C77" s="79"/>
      <c r="D77" s="79"/>
      <c r="E77" t="str">
        <f>IF(OR(LEFT(RIGHT(A77,13),1)={"A","D","E","F","G","I","L","N","P","R","S","T","V"}),"Ф","")</f>
        <v/>
      </c>
      <c r="I77" t="str">
        <v/>
      </c>
    </row>
    <row r="79" spans="1:9" x14ac:dyDescent="0.3">
      <c r="A79" t="s">
        <v>609</v>
      </c>
    </row>
    <row r="80" spans="1:9" x14ac:dyDescent="0.3">
      <c r="A80" t="s">
        <v>614</v>
      </c>
      <c r="B80" t="s">
        <v>615</v>
      </c>
    </row>
    <row r="81" spans="1:8" x14ac:dyDescent="0.3">
      <c r="A81" t="s">
        <v>616</v>
      </c>
    </row>
    <row r="82" spans="1:8" x14ac:dyDescent="0.3">
      <c r="A82" t="s">
        <v>613</v>
      </c>
      <c r="B82" t="s">
        <v>617</v>
      </c>
    </row>
    <row r="83" spans="1:8" x14ac:dyDescent="0.3">
      <c r="A83" t="s">
        <v>612</v>
      </c>
      <c r="B83" t="s">
        <v>618</v>
      </c>
    </row>
    <row r="84" spans="1:8" x14ac:dyDescent="0.3">
      <c r="A84" t="s">
        <v>610</v>
      </c>
      <c r="B84" t="s">
        <v>611</v>
      </c>
    </row>
    <row r="86" spans="1:8" x14ac:dyDescent="0.3">
      <c r="A86" s="545" t="s">
        <v>736</v>
      </c>
      <c r="B86" s="545"/>
      <c r="C86" s="545"/>
      <c r="D86" s="545"/>
      <c r="E86" s="545"/>
      <c r="F86" s="545"/>
      <c r="G86" s="546"/>
      <c r="H86" s="546"/>
    </row>
    <row r="87" spans="1:8" x14ac:dyDescent="0.3">
      <c r="A87" t="s">
        <v>737</v>
      </c>
      <c r="B87" t="s">
        <v>735</v>
      </c>
    </row>
    <row r="88" spans="1:8" x14ac:dyDescent="0.3">
      <c r="B88" t="s">
        <v>738</v>
      </c>
    </row>
    <row r="89" spans="1:8" x14ac:dyDescent="0.3">
      <c r="B89" t="s">
        <v>739</v>
      </c>
    </row>
    <row r="91" spans="1:8" x14ac:dyDescent="0.3">
      <c r="A91" s="545" t="s">
        <v>764</v>
      </c>
      <c r="B91" s="545"/>
      <c r="C91" s="545"/>
      <c r="D91" s="545"/>
      <c r="E91" s="545"/>
      <c r="F91" s="545"/>
      <c r="G91" s="546"/>
      <c r="H91" s="546"/>
    </row>
    <row r="92" spans="1:8" x14ac:dyDescent="0.3">
      <c r="B92" t="s">
        <v>765</v>
      </c>
    </row>
    <row r="93" spans="1:8" x14ac:dyDescent="0.3">
      <c r="A93" t="s">
        <v>695</v>
      </c>
      <c r="B93" t="s">
        <v>766</v>
      </c>
    </row>
    <row r="94" spans="1:8" x14ac:dyDescent="0.3">
      <c r="A94" t="s">
        <v>769</v>
      </c>
      <c r="B94" t="s">
        <v>770</v>
      </c>
    </row>
  </sheetData>
  <sheetProtection password="E80F" sheet="1" objects="1" scenarios="1" formatCells="0" formatColumns="0" formatRows="0" insertColumns="0" insertRows="0" insertHyperlinks="0" deleteColumns="0" deleteRows="0" sort="0" autoFilter="0" pivotTables="0"/>
  <mergeCells count="6">
    <mergeCell ref="A91:H91"/>
    <mergeCell ref="A37:H37"/>
    <mergeCell ref="A13:H13"/>
    <mergeCell ref="A1:H1"/>
    <mergeCell ref="A10:H10"/>
    <mergeCell ref="A86:H86"/>
  </mergeCells>
  <hyperlinks>
    <hyperlink ref="B5" r:id="rId1"/>
    <hyperlink ref="B6" r:id="rId2"/>
    <hyperlink ref="B7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ТИТУЛ</vt:lpstr>
      <vt:lpstr>ПОКАЗАТЕЛИ</vt:lpstr>
      <vt:lpstr>ЗАКУПКИ</vt:lpstr>
      <vt:lpstr>ИНЫЕ ЦЕЛИ</vt:lpstr>
      <vt:lpstr>'ИНЫЕ ЦЕЛИ'!Заголовки_для_печати</vt:lpstr>
      <vt:lpstr>ПОКАЗАТЕЛИ!Заголовки_для_печати</vt:lpstr>
      <vt:lpstr>ЗАКУПКИ!Область_печати</vt:lpstr>
      <vt:lpstr>'ИНЫЕ ЦЕЛИ'!Область_печати</vt:lpstr>
      <vt:lpstr>ПОКАЗАТЕЛИ!Область_печати</vt:lpstr>
      <vt:lpstr>ТИТУЛ!Область_печати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Андрей Сергеевич</dc:creator>
  <cp:lastModifiedBy>кп</cp:lastModifiedBy>
  <cp:lastPrinted>2022-01-10T06:53:33Z</cp:lastPrinted>
  <dcterms:created xsi:type="dcterms:W3CDTF">2015-12-03T07:22:45Z</dcterms:created>
  <dcterms:modified xsi:type="dcterms:W3CDTF">2022-01-20T10:42:06Z</dcterms:modified>
</cp:coreProperties>
</file>