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E:\Мои документы\Бюджет 2021г\"/>
    </mc:Choice>
  </mc:AlternateContent>
  <bookViews>
    <workbookView xWindow="0" yWindow="0" windowWidth="23040" windowHeight="9360"/>
  </bookViews>
  <sheets>
    <sheet name="ТИТУЛ" sheetId="8" r:id="rId1"/>
    <sheet name="ПОКАЗАТЕЛИ" sheetId="16" r:id="rId2"/>
    <sheet name="ЗАКУПКИ" sheetId="97" r:id="rId3"/>
    <sheet name="ИНЫЕ ЦЕЛИ" sheetId="19" r:id="rId4"/>
    <sheet name="УЧРЕЖДЕНИЯ" sheetId="17" state="veryHidden" r:id="rId5"/>
    <sheet name="КБК" sheetId="18" state="veryHidden" r:id="rId6"/>
    <sheet name="ПРОВЕРКИ" sheetId="96" state="veryHidden" r:id="rId7"/>
  </sheets>
  <definedNames>
    <definedName name="_xlnm._FilterDatabase" localSheetId="5" hidden="1">КБК!$A$4:$H$1004</definedName>
    <definedName name="_xlnm._FilterDatabase" localSheetId="4" hidden="1">УЧРЕЖДЕНИЯ!$A$2:$M$53</definedName>
    <definedName name="_xlnm.Print_Titles" localSheetId="3">'ИНЫЕ ЦЕЛИ'!$16:$18</definedName>
    <definedName name="_xlnm.Print_Titles" localSheetId="1">ПОКАЗАТЕЛИ!$2:$5</definedName>
    <definedName name="_xlnm.Print_Area" localSheetId="2">ЗАКУПКИ!$A$1:$I$46</definedName>
    <definedName name="_xlnm.Print_Area" localSheetId="3">'ИНЫЕ ЦЕЛИ'!$A$1:$M$77</definedName>
    <definedName name="_xlnm.Print_Area" localSheetId="1">ПОКАЗАТЕЛИ!$A$1:$N$306</definedName>
    <definedName name="_xlnm.Print_Area" localSheetId="0">ТИТУЛ!$A$1:$DD$55</definedName>
  </definedNames>
  <calcPr calcId="152511" fullPrecision="0"/>
</workbook>
</file>

<file path=xl/calcChain.xml><?xml version="1.0" encoding="utf-8"?>
<calcChain xmlns="http://schemas.openxmlformats.org/spreadsheetml/2006/main">
  <c r="A887" i="18" l="1"/>
  <c r="I885" i="18"/>
  <c r="D885" i="18"/>
  <c r="I884" i="18"/>
  <c r="D884" i="18"/>
  <c r="D887" i="18"/>
  <c r="I887" i="18"/>
  <c r="G70" i="19" l="1"/>
  <c r="I864" i="18" l="1"/>
  <c r="D864" i="18"/>
  <c r="I863" i="18" l="1"/>
  <c r="I865" i="18"/>
  <c r="I866" i="18"/>
  <c r="D863" i="18"/>
  <c r="D865" i="18"/>
  <c r="D866" i="18"/>
  <c r="G292" i="16" l="1"/>
  <c r="G291" i="16" s="1"/>
  <c r="H292" i="16"/>
  <c r="F292" i="16"/>
  <c r="F291" i="16" s="1"/>
  <c r="H291" i="16"/>
  <c r="I291" i="16"/>
  <c r="J291" i="16"/>
  <c r="K291" i="16"/>
  <c r="L291" i="16"/>
  <c r="M291" i="16"/>
  <c r="N291" i="16"/>
  <c r="O292" i="16"/>
  <c r="I114" i="18"/>
  <c r="D114" i="18"/>
  <c r="I294" i="16" l="1"/>
  <c r="J294" i="16"/>
  <c r="K294" i="16"/>
  <c r="L294" i="16"/>
  <c r="M294" i="16"/>
  <c r="N294" i="16"/>
  <c r="G295" i="16"/>
  <c r="G294" i="16" s="1"/>
  <c r="H295" i="16"/>
  <c r="H294" i="16" s="1"/>
  <c r="F295" i="16"/>
  <c r="F294" i="16" s="1"/>
  <c r="O295" i="16"/>
  <c r="I803" i="18" l="1"/>
  <c r="D803" i="18"/>
  <c r="I549" i="18"/>
  <c r="D549" i="18"/>
  <c r="I862" i="18" l="1"/>
  <c r="D862" i="18"/>
  <c r="I861" i="18"/>
  <c r="D861" i="18"/>
  <c r="I860" i="18"/>
  <c r="D860" i="18"/>
  <c r="I657" i="18" l="1"/>
  <c r="D657" i="18"/>
  <c r="I720" i="18"/>
  <c r="D720" i="18"/>
  <c r="I690" i="18"/>
  <c r="D690" i="18"/>
  <c r="I755" i="18"/>
  <c r="D755" i="18"/>
  <c r="I842" i="18" l="1"/>
  <c r="D842" i="18"/>
  <c r="I534" i="18"/>
  <c r="D534" i="18"/>
  <c r="I478" i="18"/>
  <c r="D478" i="18"/>
  <c r="J297" i="16"/>
  <c r="K297" i="16"/>
  <c r="L297" i="16"/>
  <c r="M297" i="16"/>
  <c r="N297" i="16"/>
  <c r="I423" i="18"/>
  <c r="D423" i="18"/>
  <c r="D424" i="18"/>
  <c r="I424" i="18"/>
  <c r="I404" i="18"/>
  <c r="I405" i="18"/>
  <c r="D404" i="18"/>
  <c r="I873" i="18" l="1"/>
  <c r="I874" i="18"/>
  <c r="I875" i="18"/>
  <c r="I876" i="18"/>
  <c r="D874" i="18"/>
  <c r="D873" i="18"/>
  <c r="H185" i="16" l="1"/>
  <c r="G185" i="16"/>
  <c r="F185" i="16"/>
  <c r="O185" i="16" l="1"/>
  <c r="D362" i="18"/>
  <c r="I362" i="18"/>
  <c r="I363" i="18"/>
  <c r="I354" i="18" l="1"/>
  <c r="I355" i="18"/>
  <c r="I356" i="18"/>
  <c r="I357" i="18"/>
  <c r="I358" i="18"/>
  <c r="I359" i="18"/>
  <c r="I360" i="18"/>
  <c r="I548" i="18" l="1"/>
  <c r="D548" i="18"/>
  <c r="I539" i="18"/>
  <c r="I533" i="18"/>
  <c r="I540" i="18"/>
  <c r="I541" i="18"/>
  <c r="I542" i="18"/>
  <c r="I543" i="18"/>
  <c r="I544" i="18"/>
  <c r="I545" i="18"/>
  <c r="I546" i="18"/>
  <c r="I547" i="18"/>
  <c r="I550" i="18"/>
  <c r="I551" i="18"/>
  <c r="I535" i="18"/>
  <c r="I536" i="18"/>
  <c r="I537" i="18"/>
  <c r="I538" i="18"/>
  <c r="I853" i="18" l="1"/>
  <c r="D853" i="18"/>
  <c r="I846" i="18" l="1"/>
  <c r="D846" i="18"/>
  <c r="I829" i="18" l="1"/>
  <c r="I830" i="18"/>
  <c r="I831" i="18"/>
  <c r="I832" i="18"/>
  <c r="I833" i="18"/>
  <c r="I834" i="18"/>
  <c r="I835" i="18"/>
  <c r="I836" i="18"/>
  <c r="I837" i="18"/>
  <c r="I838" i="18"/>
  <c r="I839" i="18"/>
  <c r="I840" i="18"/>
  <c r="I841" i="18"/>
  <c r="I843" i="18"/>
  <c r="I844" i="18"/>
  <c r="I845" i="18"/>
  <c r="I847" i="18"/>
  <c r="I848" i="18"/>
  <c r="I849" i="18"/>
  <c r="I850" i="18"/>
  <c r="I851" i="18"/>
  <c r="I852" i="18"/>
  <c r="I854" i="18"/>
  <c r="I855" i="18"/>
  <c r="I856" i="18"/>
  <c r="I857" i="18"/>
  <c r="I858" i="18"/>
  <c r="I859" i="18"/>
  <c r="I867" i="18"/>
  <c r="I868" i="18"/>
  <c r="I869" i="18"/>
  <c r="I870" i="18"/>
  <c r="I871" i="18"/>
  <c r="I872" i="18"/>
  <c r="I877" i="18"/>
  <c r="I878" i="18"/>
  <c r="I879" i="18"/>
  <c r="I880" i="18"/>
  <c r="I881" i="18"/>
  <c r="I882" i="18"/>
  <c r="I883" i="18"/>
  <c r="I886" i="18"/>
  <c r="D848" i="18"/>
  <c r="D849" i="18"/>
  <c r="D843" i="18"/>
  <c r="D840" i="18"/>
  <c r="D841" i="18"/>
  <c r="D832" i="18"/>
  <c r="D833" i="18"/>
  <c r="D834" i="18"/>
  <c r="D859" i="18"/>
  <c r="D857" i="18"/>
  <c r="D858" i="18"/>
  <c r="I826" i="18" l="1"/>
  <c r="I827" i="18"/>
  <c r="I828" i="18"/>
  <c r="D829" i="18"/>
  <c r="D830" i="18"/>
  <c r="D831" i="18"/>
  <c r="D835" i="18"/>
  <c r="D836" i="18"/>
  <c r="D828" i="18"/>
  <c r="D837" i="18"/>
  <c r="D786" i="18" l="1"/>
  <c r="I391" i="18"/>
  <c r="I392" i="18"/>
  <c r="I393" i="18"/>
  <c r="I394" i="18"/>
  <c r="I395" i="18"/>
  <c r="I396" i="18"/>
  <c r="I397" i="18"/>
  <c r="I398" i="18"/>
  <c r="I399" i="18"/>
  <c r="I400" i="18"/>
  <c r="I401" i="18"/>
  <c r="I402" i="18"/>
  <c r="I403" i="18"/>
  <c r="I406" i="18"/>
  <c r="I407" i="18"/>
  <c r="I408" i="18"/>
  <c r="I409" i="18"/>
  <c r="I410" i="18"/>
  <c r="I411" i="18"/>
  <c r="I412" i="18"/>
  <c r="I413" i="18"/>
  <c r="I414" i="18"/>
  <c r="I415" i="18"/>
  <c r="I416" i="18"/>
  <c r="I417" i="18"/>
  <c r="I418" i="18"/>
  <c r="I419" i="18"/>
  <c r="I420" i="18"/>
  <c r="I421" i="18"/>
  <c r="I422" i="18"/>
  <c r="I425" i="18"/>
  <c r="I426" i="18"/>
  <c r="I427" i="18"/>
  <c r="I428" i="18"/>
  <c r="I429" i="18"/>
  <c r="I430" i="18"/>
  <c r="I431" i="18"/>
  <c r="I432" i="18"/>
  <c r="I433" i="18"/>
  <c r="I434" i="18"/>
  <c r="I435" i="18"/>
  <c r="I436" i="18"/>
  <c r="I437" i="18"/>
  <c r="I438" i="18"/>
  <c r="I439" i="18"/>
  <c r="I440" i="18"/>
  <c r="I441" i="18"/>
  <c r="I442" i="18"/>
  <c r="I443" i="18"/>
  <c r="I444" i="18"/>
  <c r="I445" i="18"/>
  <c r="I446" i="18"/>
  <c r="I447" i="18"/>
  <c r="I448" i="18"/>
  <c r="I449" i="18"/>
  <c r="I450" i="18"/>
  <c r="I451" i="18"/>
  <c r="I452" i="18"/>
  <c r="I453" i="18"/>
  <c r="I454" i="18"/>
  <c r="I455" i="18"/>
  <c r="I456" i="18"/>
  <c r="I457" i="18"/>
  <c r="I458" i="18"/>
  <c r="I459" i="18"/>
  <c r="I460" i="18"/>
  <c r="I461" i="18"/>
  <c r="I462" i="18"/>
  <c r="I463" i="18"/>
  <c r="I464" i="18"/>
  <c r="I465" i="18"/>
  <c r="I466" i="18"/>
  <c r="I467" i="18"/>
  <c r="I468" i="18"/>
  <c r="I469" i="18"/>
  <c r="I470" i="18"/>
  <c r="I471" i="18"/>
  <c r="I472" i="18"/>
  <c r="I473" i="18"/>
  <c r="I474" i="18"/>
  <c r="I475" i="18"/>
  <c r="I476" i="18"/>
  <c r="I477" i="18"/>
  <c r="I479" i="18"/>
  <c r="I480" i="18"/>
  <c r="I481" i="18"/>
  <c r="I482" i="18"/>
  <c r="I483" i="18"/>
  <c r="I484" i="18"/>
  <c r="I485" i="18"/>
  <c r="I486" i="18"/>
  <c r="I487" i="18"/>
  <c r="I488" i="18"/>
  <c r="I489" i="18"/>
  <c r="I490" i="18"/>
  <c r="I491" i="18"/>
  <c r="I492" i="18"/>
  <c r="I493" i="18"/>
  <c r="I494" i="18"/>
  <c r="I495" i="18"/>
  <c r="I496" i="18"/>
  <c r="I497" i="18"/>
  <c r="I498" i="18"/>
  <c r="I499" i="18"/>
  <c r="I500" i="18"/>
  <c r="I501" i="18"/>
  <c r="I502" i="18"/>
  <c r="I503" i="18"/>
  <c r="I504" i="18"/>
  <c r="I505" i="18"/>
  <c r="I506" i="18"/>
  <c r="I507" i="18"/>
  <c r="I508" i="18"/>
  <c r="I509" i="18"/>
  <c r="I510" i="18"/>
  <c r="I511" i="18"/>
  <c r="I512" i="18"/>
  <c r="I513" i="18"/>
  <c r="I514" i="18"/>
  <c r="I515" i="18"/>
  <c r="I516" i="18"/>
  <c r="I517" i="18"/>
  <c r="I518" i="18"/>
  <c r="I519" i="18"/>
  <c r="I520" i="18"/>
  <c r="I521" i="18"/>
  <c r="I522" i="18"/>
  <c r="I523" i="18"/>
  <c r="I524" i="18"/>
  <c r="I525" i="18"/>
  <c r="I526" i="18"/>
  <c r="I527" i="18"/>
  <c r="I528" i="18"/>
  <c r="I529" i="18"/>
  <c r="I530" i="18"/>
  <c r="I531" i="18"/>
  <c r="I532" i="18"/>
  <c r="I552" i="18"/>
  <c r="I553" i="18"/>
  <c r="I554" i="18"/>
  <c r="I555" i="18"/>
  <c r="I556" i="18"/>
  <c r="I557" i="18"/>
  <c r="I558" i="18"/>
  <c r="I559" i="18"/>
  <c r="I560" i="18"/>
  <c r="I561" i="18"/>
  <c r="I562" i="18"/>
  <c r="I563" i="18"/>
  <c r="I564" i="18"/>
  <c r="I565" i="18"/>
  <c r="I566" i="18"/>
  <c r="I567" i="18"/>
  <c r="I568" i="18"/>
  <c r="I569" i="18"/>
  <c r="I570" i="18"/>
  <c r="I571" i="18"/>
  <c r="I572" i="18"/>
  <c r="I573" i="18"/>
  <c r="I574" i="18"/>
  <c r="I575" i="18"/>
  <c r="I576" i="18"/>
  <c r="I577" i="18"/>
  <c r="I578" i="18"/>
  <c r="I579" i="18"/>
  <c r="I580" i="18"/>
  <c r="I581" i="18"/>
  <c r="I582" i="18"/>
  <c r="I583" i="18"/>
  <c r="I584" i="18"/>
  <c r="I585" i="18"/>
  <c r="I586" i="18"/>
  <c r="I587" i="18"/>
  <c r="I588" i="18"/>
  <c r="I589" i="18"/>
  <c r="I590" i="18"/>
  <c r="I591" i="18"/>
  <c r="I592" i="18"/>
  <c r="I593" i="18"/>
  <c r="I594" i="18"/>
  <c r="I595" i="18"/>
  <c r="I596" i="18"/>
  <c r="I597" i="18"/>
  <c r="I598" i="18"/>
  <c r="I599" i="18"/>
  <c r="I600" i="18"/>
  <c r="I601" i="18"/>
  <c r="I602" i="18"/>
  <c r="I603" i="18"/>
  <c r="I604" i="18"/>
  <c r="I605" i="18"/>
  <c r="I606" i="18"/>
  <c r="I607" i="18"/>
  <c r="I608" i="18"/>
  <c r="I609" i="18"/>
  <c r="I610" i="18"/>
  <c r="I611" i="18"/>
  <c r="I612" i="18"/>
  <c r="I613" i="18"/>
  <c r="I614" i="18"/>
  <c r="I615" i="18"/>
  <c r="I616" i="18"/>
  <c r="I617" i="18"/>
  <c r="I618" i="18"/>
  <c r="I619" i="18"/>
  <c r="I620" i="18"/>
  <c r="I621" i="18"/>
  <c r="I622" i="18"/>
  <c r="I623" i="18"/>
  <c r="I624" i="18"/>
  <c r="I625" i="18"/>
  <c r="I626" i="18"/>
  <c r="I627" i="18"/>
  <c r="I628" i="18"/>
  <c r="I629" i="18"/>
  <c r="I630" i="18"/>
  <c r="I631" i="18"/>
  <c r="I632" i="18"/>
  <c r="I633" i="18"/>
  <c r="I634" i="18"/>
  <c r="I635" i="18"/>
  <c r="I636" i="18"/>
  <c r="I637" i="18"/>
  <c r="I638" i="18"/>
  <c r="I639" i="18"/>
  <c r="I640" i="18"/>
  <c r="I641" i="18"/>
  <c r="I642" i="18"/>
  <c r="I643" i="18"/>
  <c r="I644" i="18"/>
  <c r="I645" i="18"/>
  <c r="I646" i="18"/>
  <c r="I647" i="18"/>
  <c r="I648" i="18"/>
  <c r="I649" i="18"/>
  <c r="I650" i="18"/>
  <c r="I651" i="18"/>
  <c r="I652" i="18"/>
  <c r="I653" i="18"/>
  <c r="I654" i="18"/>
  <c r="I655" i="18"/>
  <c r="I656" i="18"/>
  <c r="I658" i="18"/>
  <c r="I659" i="18"/>
  <c r="I660" i="18"/>
  <c r="I661" i="18"/>
  <c r="I662" i="18"/>
  <c r="I663" i="18"/>
  <c r="I664" i="18"/>
  <c r="I665" i="18"/>
  <c r="I666" i="18"/>
  <c r="I667" i="18"/>
  <c r="I668" i="18"/>
  <c r="I669" i="18"/>
  <c r="I670" i="18"/>
  <c r="I671" i="18"/>
  <c r="I672" i="18"/>
  <c r="I673" i="18"/>
  <c r="I674" i="18"/>
  <c r="I675" i="18"/>
  <c r="I676" i="18"/>
  <c r="I677" i="18"/>
  <c r="I678" i="18"/>
  <c r="I679" i="18"/>
  <c r="I680" i="18"/>
  <c r="I681" i="18"/>
  <c r="I682" i="18"/>
  <c r="I683" i="18"/>
  <c r="I684" i="18"/>
  <c r="I685" i="18"/>
  <c r="I686" i="18"/>
  <c r="I687" i="18"/>
  <c r="I688" i="18"/>
  <c r="I689" i="18"/>
  <c r="I691" i="18"/>
  <c r="I692" i="18"/>
  <c r="I693" i="18"/>
  <c r="I694" i="18"/>
  <c r="I695" i="18"/>
  <c r="I696" i="18"/>
  <c r="I697" i="18"/>
  <c r="I698" i="18"/>
  <c r="I699" i="18"/>
  <c r="I700" i="18"/>
  <c r="I701" i="18"/>
  <c r="I702" i="18"/>
  <c r="I703" i="18"/>
  <c r="I704" i="18"/>
  <c r="I705" i="18"/>
  <c r="I706" i="18"/>
  <c r="I707" i="18"/>
  <c r="I708" i="18"/>
  <c r="I709" i="18"/>
  <c r="I710" i="18"/>
  <c r="I711" i="18"/>
  <c r="I712" i="18"/>
  <c r="I713" i="18"/>
  <c r="I714" i="18"/>
  <c r="I715" i="18"/>
  <c r="I716" i="18"/>
  <c r="I717" i="18"/>
  <c r="I718" i="18"/>
  <c r="I719" i="18"/>
  <c r="I721" i="18"/>
  <c r="I722" i="18"/>
  <c r="I723" i="18"/>
  <c r="I724" i="18"/>
  <c r="I725" i="18"/>
  <c r="I726" i="18"/>
  <c r="I727" i="18"/>
  <c r="I728" i="18"/>
  <c r="I729" i="18"/>
  <c r="I730" i="18"/>
  <c r="I731" i="18"/>
  <c r="I732" i="18"/>
  <c r="I733" i="18"/>
  <c r="I734" i="18"/>
  <c r="I735" i="18"/>
  <c r="I736" i="18"/>
  <c r="I737" i="18"/>
  <c r="I738" i="18"/>
  <c r="I739" i="18"/>
  <c r="I740" i="18"/>
  <c r="I741" i="18"/>
  <c r="I742" i="18"/>
  <c r="I743" i="18"/>
  <c r="I744" i="18"/>
  <c r="I745" i="18"/>
  <c r="I746" i="18"/>
  <c r="I747" i="18"/>
  <c r="I748" i="18"/>
  <c r="I749" i="18"/>
  <c r="I750" i="18"/>
  <c r="I751" i="18"/>
  <c r="I752" i="18"/>
  <c r="I753" i="18"/>
  <c r="I754" i="18"/>
  <c r="I756" i="18"/>
  <c r="I757" i="18"/>
  <c r="I758" i="18"/>
  <c r="I759" i="18"/>
  <c r="I760" i="18"/>
  <c r="I761" i="18"/>
  <c r="I762" i="18"/>
  <c r="I763" i="18"/>
  <c r="I764" i="18"/>
  <c r="I765" i="18"/>
  <c r="I766" i="18"/>
  <c r="I767" i="18"/>
  <c r="I768" i="18"/>
  <c r="I769" i="18"/>
  <c r="I770" i="18"/>
  <c r="I771" i="18"/>
  <c r="I772" i="18"/>
  <c r="I773" i="18"/>
  <c r="I774" i="18"/>
  <c r="I775" i="18"/>
  <c r="I776" i="18"/>
  <c r="I777" i="18"/>
  <c r="I778" i="18"/>
  <c r="I779" i="18"/>
  <c r="I780" i="18"/>
  <c r="I781" i="18"/>
  <c r="I782" i="18"/>
  <c r="I783" i="18"/>
  <c r="I784" i="18"/>
  <c r="I785" i="18"/>
  <c r="I786" i="18"/>
  <c r="I787" i="18"/>
  <c r="I788" i="18"/>
  <c r="I789" i="18"/>
  <c r="I790" i="18"/>
  <c r="I791" i="18"/>
  <c r="I792" i="18"/>
  <c r="I793" i="18"/>
  <c r="I794" i="18"/>
  <c r="I795" i="18"/>
  <c r="I796" i="18"/>
  <c r="I797" i="18"/>
  <c r="I798" i="18"/>
  <c r="I799" i="18"/>
  <c r="I800" i="18"/>
  <c r="I801" i="18"/>
  <c r="I802" i="18"/>
  <c r="I804" i="18"/>
  <c r="I805" i="18"/>
  <c r="I806" i="18"/>
  <c r="I807" i="18"/>
  <c r="I808" i="18"/>
  <c r="I809" i="18"/>
  <c r="I810" i="18"/>
  <c r="I811" i="18"/>
  <c r="I812" i="18"/>
  <c r="I813" i="18"/>
  <c r="I814" i="18"/>
  <c r="I815" i="18"/>
  <c r="I816" i="18"/>
  <c r="I817" i="18"/>
  <c r="I818" i="18"/>
  <c r="I819" i="18"/>
  <c r="I820" i="18"/>
  <c r="I821" i="18"/>
  <c r="I822" i="18"/>
  <c r="I823" i="18"/>
  <c r="I824" i="18"/>
  <c r="I825" i="18"/>
  <c r="D674" i="18" l="1"/>
  <c r="H186" i="16" l="1"/>
  <c r="G186" i="16"/>
  <c r="F186" i="16"/>
  <c r="D739" i="18"/>
  <c r="J6" i="16" l="1"/>
  <c r="K6" i="16"/>
  <c r="L6" i="16"/>
  <c r="M6" i="16"/>
  <c r="N6" i="16"/>
  <c r="I6" i="16"/>
  <c r="G16" i="19" l="1"/>
  <c r="A15" i="8"/>
  <c r="A14" i="8"/>
  <c r="F16" i="19"/>
  <c r="DF22" i="8" l="1"/>
  <c r="DF23" i="8" s="1"/>
  <c r="DF24" i="8" s="1"/>
  <c r="DF25" i="8" s="1"/>
  <c r="DF26" i="8" s="1"/>
  <c r="DF27" i="8" s="1"/>
  <c r="DF28" i="8" s="1"/>
  <c r="DF29" i="8" s="1"/>
  <c r="DF30" i="8" s="1"/>
  <c r="DF31" i="8" s="1"/>
  <c r="DF32" i="8" s="1"/>
  <c r="DF33" i="8" s="1"/>
  <c r="DF34" i="8" s="1"/>
  <c r="DF35" i="8" s="1"/>
  <c r="DF36" i="8" s="1"/>
  <c r="DF37" i="8" s="1"/>
  <c r="DF38" i="8" s="1"/>
  <c r="DF39" i="8" s="1"/>
  <c r="DF40" i="8" s="1"/>
  <c r="DF41" i="8" s="1"/>
  <c r="DF42" i="8" s="1"/>
  <c r="DF43" i="8" s="1"/>
  <c r="DF44" i="8" s="1"/>
  <c r="DF45" i="8" s="1"/>
  <c r="DF46" i="8" s="1"/>
  <c r="DF47" i="8" s="1"/>
  <c r="DF48" i="8" s="1"/>
  <c r="DF49" i="8" s="1"/>
  <c r="DF50" i="8" s="1"/>
  <c r="DF51" i="8" s="1"/>
  <c r="DF52" i="8" s="1"/>
  <c r="DF53" i="8" s="1"/>
  <c r="DF54" i="8" s="1"/>
  <c r="CO22" i="8"/>
  <c r="R22" i="8"/>
  <c r="EN7" i="8"/>
  <c r="DV7" i="8"/>
  <c r="DP7" i="8"/>
  <c r="N4" i="16"/>
  <c r="M4" i="16"/>
  <c r="L4" i="16"/>
  <c r="K4" i="16"/>
  <c r="J4" i="16"/>
  <c r="I4" i="16"/>
  <c r="H4" i="16"/>
  <c r="G4" i="16"/>
  <c r="F4" i="16"/>
  <c r="L17" i="19"/>
  <c r="H17" i="19"/>
  <c r="J17" i="19"/>
  <c r="H3" i="97"/>
  <c r="F3" i="97"/>
  <c r="G3" i="97"/>
  <c r="D14" i="97"/>
  <c r="D15" i="97"/>
  <c r="D16" i="97"/>
  <c r="D17" i="97"/>
  <c r="D18" i="97"/>
  <c r="D19" i="97"/>
  <c r="D20" i="97"/>
  <c r="D21" i="97"/>
  <c r="D22" i="97"/>
  <c r="D23" i="97"/>
  <c r="D24" i="97"/>
  <c r="D25" i="97"/>
  <c r="D26" i="97"/>
  <c r="D27" i="97"/>
  <c r="D28" i="97"/>
  <c r="D29" i="97"/>
  <c r="D30" i="97"/>
  <c r="D31" i="97"/>
  <c r="D32" i="97"/>
  <c r="D13" i="97"/>
  <c r="D6" i="97"/>
  <c r="D8" i="97"/>
  <c r="D9" i="97"/>
  <c r="D10" i="97"/>
  <c r="D11" i="97"/>
  <c r="D12" i="97"/>
  <c r="D7" i="97"/>
  <c r="D5" i="97"/>
  <c r="A9" i="19"/>
  <c r="A8" i="19"/>
  <c r="L75" i="19"/>
  <c r="C44" i="97"/>
  <c r="G44" i="97"/>
  <c r="A304" i="16"/>
  <c r="J304" i="16"/>
  <c r="E44" i="97" s="1"/>
  <c r="J75" i="19" l="1"/>
  <c r="D852" i="18"/>
  <c r="D844" i="18" l="1"/>
  <c r="D845" i="18"/>
  <c r="D847" i="18"/>
  <c r="D850" i="18"/>
  <c r="D851" i="18"/>
  <c r="D854" i="18"/>
  <c r="D855" i="18"/>
  <c r="D856" i="18"/>
  <c r="D838" i="18"/>
  <c r="D839" i="18"/>
  <c r="D867" i="18"/>
  <c r="F36" i="97" l="1"/>
  <c r="G35" i="97" l="1"/>
  <c r="H35" i="97"/>
  <c r="I35" i="97"/>
  <c r="F35" i="97"/>
  <c r="F17" i="97"/>
  <c r="G17" i="97"/>
  <c r="H17" i="97"/>
  <c r="I17" i="97"/>
  <c r="E17" i="97"/>
  <c r="D868" i="18" l="1"/>
  <c r="D869" i="18"/>
  <c r="D870" i="18"/>
  <c r="D871" i="18"/>
  <c r="D872" i="18"/>
  <c r="H280" i="16" l="1"/>
  <c r="G280" i="16"/>
  <c r="F280" i="16"/>
  <c r="I279" i="16"/>
  <c r="J279" i="16"/>
  <c r="K279" i="16"/>
  <c r="L279" i="16"/>
  <c r="M279" i="16"/>
  <c r="N279" i="16"/>
  <c r="D875" i="18" l="1"/>
  <c r="O280" i="16"/>
  <c r="D882" i="18"/>
  <c r="D883" i="18"/>
  <c r="D879" i="18"/>
  <c r="D880" i="18"/>
  <c r="D881" i="18"/>
  <c r="D876" i="18"/>
  <c r="D878" i="18"/>
  <c r="D877" i="18"/>
  <c r="I76" i="16" l="1"/>
  <c r="J76" i="16"/>
  <c r="K76" i="16"/>
  <c r="L76" i="16"/>
  <c r="M76" i="16"/>
  <c r="N76" i="16"/>
  <c r="H89" i="16"/>
  <c r="G89" i="16"/>
  <c r="F89" i="16"/>
  <c r="D774" i="18"/>
  <c r="CO20" i="8" l="1"/>
  <c r="P19" i="8"/>
  <c r="H301" i="16" l="1"/>
  <c r="L301" i="16"/>
  <c r="H72" i="19"/>
  <c r="L72" i="19"/>
  <c r="I5" i="19"/>
  <c r="I282" i="16"/>
  <c r="J282" i="16"/>
  <c r="K282" i="16"/>
  <c r="L282" i="16"/>
  <c r="M282" i="16"/>
  <c r="N282" i="16"/>
  <c r="O283" i="16" l="1"/>
  <c r="O286" i="16" l="1"/>
  <c r="I155" i="16"/>
  <c r="J155" i="16"/>
  <c r="K155" i="16"/>
  <c r="L155" i="16"/>
  <c r="M155" i="16"/>
  <c r="N155" i="16"/>
  <c r="O160" i="16"/>
  <c r="O158" i="16"/>
  <c r="O156" i="16"/>
  <c r="I165" i="16"/>
  <c r="J165" i="16"/>
  <c r="K165" i="16"/>
  <c r="L165" i="16"/>
  <c r="M165" i="16"/>
  <c r="N165" i="16"/>
  <c r="O173" i="16"/>
  <c r="O171" i="16"/>
  <c r="O169" i="16"/>
  <c r="O166" i="16"/>
  <c r="I175" i="16"/>
  <c r="J175" i="16"/>
  <c r="K175" i="16"/>
  <c r="L175" i="16"/>
  <c r="M175" i="16"/>
  <c r="N175" i="16"/>
  <c r="O270" i="16"/>
  <c r="O266" i="16"/>
  <c r="O257" i="16"/>
  <c r="O253" i="16"/>
  <c r="O249" i="16"/>
  <c r="O242" i="16"/>
  <c r="O238" i="16"/>
  <c r="O234" i="16"/>
  <c r="O221" i="16"/>
  <c r="O218" i="16"/>
  <c r="O215" i="16"/>
  <c r="O204" i="16"/>
  <c r="O194" i="16"/>
  <c r="O192" i="16"/>
  <c r="O190" i="16"/>
  <c r="O187" i="16"/>
  <c r="O179" i="16"/>
  <c r="O176" i="16"/>
  <c r="I137" i="16"/>
  <c r="J137" i="16"/>
  <c r="K137" i="16"/>
  <c r="L137" i="16"/>
  <c r="M137" i="16"/>
  <c r="N137" i="16"/>
  <c r="O144" i="16"/>
  <c r="O142" i="16"/>
  <c r="O139" i="16"/>
  <c r="I90" i="16"/>
  <c r="J90" i="16"/>
  <c r="K90" i="16"/>
  <c r="L90" i="16"/>
  <c r="M90" i="16"/>
  <c r="N90" i="16"/>
  <c r="O96" i="16"/>
  <c r="O94" i="16"/>
  <c r="O87" i="16"/>
  <c r="A826" i="18" l="1"/>
  <c r="O55" i="16"/>
  <c r="O38" i="16"/>
  <c r="H38" i="16"/>
  <c r="G38" i="16"/>
  <c r="F38" i="16"/>
  <c r="A390" i="18" l="1"/>
  <c r="I26" i="16"/>
  <c r="I25" i="16" s="1"/>
  <c r="J26" i="16"/>
  <c r="J25" i="16" s="1"/>
  <c r="K26" i="16"/>
  <c r="K25" i="16" s="1"/>
  <c r="L26" i="16"/>
  <c r="L25" i="16" s="1"/>
  <c r="M26" i="16"/>
  <c r="M25" i="16" s="1"/>
  <c r="N26" i="16"/>
  <c r="N25" i="16" s="1"/>
  <c r="O39" i="16"/>
  <c r="D607" i="18" l="1"/>
  <c r="D631" i="18"/>
  <c r="B13" i="19" l="1"/>
  <c r="B10" i="19"/>
  <c r="I56" i="16" l="1"/>
  <c r="L5" i="19" l="1"/>
  <c r="I2" i="19"/>
  <c r="I3" i="19"/>
  <c r="M13" i="19"/>
  <c r="CO19" i="8"/>
  <c r="M14" i="19" l="1"/>
  <c r="M12" i="19"/>
  <c r="M11" i="19"/>
  <c r="CO18" i="8"/>
  <c r="CO17" i="8"/>
  <c r="P17" i="8"/>
  <c r="DE4" i="8"/>
  <c r="E3" i="8" s="1"/>
  <c r="N18" i="19"/>
  <c r="A26" i="8" l="1"/>
  <c r="I9" i="18"/>
  <c r="I10" i="18"/>
  <c r="I11" i="18"/>
  <c r="I12" i="18"/>
  <c r="I13" i="18"/>
  <c r="I14" i="18"/>
  <c r="I15" i="18"/>
  <c r="I16" i="18"/>
  <c r="I17" i="18"/>
  <c r="I18" i="18"/>
  <c r="I19" i="18"/>
  <c r="I20" i="18"/>
  <c r="I21" i="18"/>
  <c r="I22" i="18"/>
  <c r="I23" i="18"/>
  <c r="I24" i="18"/>
  <c r="I25" i="18"/>
  <c r="I26" i="18"/>
  <c r="I27" i="18"/>
  <c r="I28" i="18"/>
  <c r="I29" i="18"/>
  <c r="I30" i="18"/>
  <c r="I31" i="18"/>
  <c r="I32" i="18"/>
  <c r="I33" i="18"/>
  <c r="I34" i="18"/>
  <c r="I35" i="18"/>
  <c r="I36" i="18"/>
  <c r="I37" i="18"/>
  <c r="I38" i="18"/>
  <c r="I39" i="18"/>
  <c r="I40" i="18"/>
  <c r="I41" i="18"/>
  <c r="I42" i="18"/>
  <c r="I43" i="18"/>
  <c r="I44" i="18"/>
  <c r="I45" i="18"/>
  <c r="I46" i="18"/>
  <c r="I47" i="18"/>
  <c r="I48" i="18"/>
  <c r="I49" i="18"/>
  <c r="I50" i="18"/>
  <c r="I51" i="18"/>
  <c r="I52" i="18"/>
  <c r="I53" i="18"/>
  <c r="I54" i="18"/>
  <c r="I55" i="18"/>
  <c r="I56" i="18"/>
  <c r="I57" i="18"/>
  <c r="I58" i="18"/>
  <c r="I59" i="18"/>
  <c r="I60" i="18"/>
  <c r="I61" i="18"/>
  <c r="I62" i="18"/>
  <c r="I63" i="18"/>
  <c r="I64" i="18"/>
  <c r="I65" i="18"/>
  <c r="I66" i="18"/>
  <c r="I67" i="18"/>
  <c r="I68" i="18"/>
  <c r="I69" i="18"/>
  <c r="I70" i="18"/>
  <c r="I71" i="18"/>
  <c r="I72" i="18"/>
  <c r="I73" i="18"/>
  <c r="I74" i="18"/>
  <c r="I75" i="18"/>
  <c r="I76" i="18"/>
  <c r="I77" i="18"/>
  <c r="I78" i="18"/>
  <c r="I79" i="18"/>
  <c r="I80" i="18"/>
  <c r="I81" i="18"/>
  <c r="I82" i="18"/>
  <c r="I83" i="18"/>
  <c r="I84" i="18"/>
  <c r="I85" i="18"/>
  <c r="I86" i="18"/>
  <c r="I87" i="18"/>
  <c r="I88" i="18"/>
  <c r="I89" i="18"/>
  <c r="I90" i="18"/>
  <c r="I91" i="18"/>
  <c r="I92" i="18"/>
  <c r="I93" i="18"/>
  <c r="I94" i="18"/>
  <c r="I95" i="18"/>
  <c r="I96" i="18"/>
  <c r="I97" i="18"/>
  <c r="I98" i="18"/>
  <c r="I99" i="18"/>
  <c r="I100" i="18"/>
  <c r="I101" i="18"/>
  <c r="I102" i="18"/>
  <c r="I103" i="18"/>
  <c r="I104" i="18"/>
  <c r="I105" i="18"/>
  <c r="I106" i="18"/>
  <c r="I107" i="18"/>
  <c r="I108" i="18"/>
  <c r="I109" i="18"/>
  <c r="I110" i="18"/>
  <c r="I111" i="18"/>
  <c r="I112" i="18"/>
  <c r="I113" i="18"/>
  <c r="I115" i="18"/>
  <c r="I116" i="18"/>
  <c r="I117" i="18"/>
  <c r="I118" i="18"/>
  <c r="I119" i="18"/>
  <c r="I120" i="18"/>
  <c r="I121" i="18"/>
  <c r="I122" i="18"/>
  <c r="I123" i="18"/>
  <c r="I124" i="18"/>
  <c r="I125" i="18"/>
  <c r="I126" i="18"/>
  <c r="I127" i="18"/>
  <c r="I128" i="18"/>
  <c r="I129" i="18"/>
  <c r="I130" i="18"/>
  <c r="I131" i="18"/>
  <c r="I132" i="18"/>
  <c r="I133" i="18"/>
  <c r="I134" i="18"/>
  <c r="I135" i="18"/>
  <c r="I136" i="18"/>
  <c r="I137" i="18"/>
  <c r="I138" i="18"/>
  <c r="I139" i="18"/>
  <c r="I140" i="18"/>
  <c r="I141" i="18"/>
  <c r="I142" i="18"/>
  <c r="I143" i="18"/>
  <c r="I144" i="18"/>
  <c r="I145" i="18"/>
  <c r="I146" i="18"/>
  <c r="I147" i="18"/>
  <c r="I148" i="18"/>
  <c r="I149" i="18"/>
  <c r="I150" i="18"/>
  <c r="I151" i="18"/>
  <c r="I152" i="18"/>
  <c r="I153" i="18"/>
  <c r="I154" i="18"/>
  <c r="I155" i="18"/>
  <c r="I156" i="18"/>
  <c r="I157" i="18"/>
  <c r="I158" i="18"/>
  <c r="I159" i="18"/>
  <c r="I160" i="18"/>
  <c r="I161" i="18"/>
  <c r="I162" i="18"/>
  <c r="I163" i="18"/>
  <c r="I164" i="18"/>
  <c r="I165" i="18"/>
  <c r="I166" i="18"/>
  <c r="I167" i="18"/>
  <c r="I168" i="18"/>
  <c r="I169" i="18"/>
  <c r="I170" i="18"/>
  <c r="I171" i="18"/>
  <c r="I172" i="18"/>
  <c r="I173" i="18"/>
  <c r="I174" i="18"/>
  <c r="I175" i="18"/>
  <c r="I176" i="18"/>
  <c r="I177" i="18"/>
  <c r="I178" i="18"/>
  <c r="I179" i="18"/>
  <c r="I180" i="18"/>
  <c r="I181" i="18"/>
  <c r="I182" i="18"/>
  <c r="I183" i="18"/>
  <c r="I184" i="18"/>
  <c r="I185" i="18"/>
  <c r="I186" i="18"/>
  <c r="I187" i="18"/>
  <c r="I188" i="18"/>
  <c r="I189" i="18"/>
  <c r="I190" i="18"/>
  <c r="I191" i="18"/>
  <c r="I192" i="18"/>
  <c r="I193" i="18"/>
  <c r="I194" i="18"/>
  <c r="I195" i="18"/>
  <c r="I196" i="18"/>
  <c r="I197" i="18"/>
  <c r="I198" i="18"/>
  <c r="I199" i="18"/>
  <c r="I200" i="18"/>
  <c r="I201" i="18"/>
  <c r="I202" i="18"/>
  <c r="I203" i="18"/>
  <c r="I204" i="18"/>
  <c r="I205" i="18"/>
  <c r="I206" i="18"/>
  <c r="I207" i="18"/>
  <c r="I208" i="18"/>
  <c r="I209" i="18"/>
  <c r="I210" i="18"/>
  <c r="I211" i="18"/>
  <c r="I212" i="18"/>
  <c r="I213" i="18"/>
  <c r="I214" i="18"/>
  <c r="I215" i="18"/>
  <c r="I216" i="18"/>
  <c r="I217" i="18"/>
  <c r="I218" i="18"/>
  <c r="I219" i="18"/>
  <c r="I220" i="18"/>
  <c r="I221" i="18"/>
  <c r="I222" i="18"/>
  <c r="I223" i="18"/>
  <c r="I224" i="18"/>
  <c r="I225" i="18"/>
  <c r="I226" i="18"/>
  <c r="I227" i="18"/>
  <c r="I228" i="18"/>
  <c r="I229" i="18"/>
  <c r="I230" i="18"/>
  <c r="I231" i="18"/>
  <c r="I232" i="18"/>
  <c r="I233" i="18"/>
  <c r="I234" i="18"/>
  <c r="I235" i="18"/>
  <c r="I236" i="18"/>
  <c r="I237" i="18"/>
  <c r="I238" i="18"/>
  <c r="I239" i="18"/>
  <c r="I240" i="18"/>
  <c r="I241" i="18"/>
  <c r="I242" i="18"/>
  <c r="I243" i="18"/>
  <c r="I244" i="18"/>
  <c r="I245" i="18"/>
  <c r="I246" i="18"/>
  <c r="I247" i="18"/>
  <c r="I248" i="18"/>
  <c r="I249" i="18"/>
  <c r="I250" i="18"/>
  <c r="I251" i="18"/>
  <c r="I252" i="18"/>
  <c r="I253" i="18"/>
  <c r="I254" i="18"/>
  <c r="I255" i="18"/>
  <c r="I256" i="18"/>
  <c r="I257" i="18"/>
  <c r="I258" i="18"/>
  <c r="I259" i="18"/>
  <c r="I260" i="18"/>
  <c r="I261" i="18"/>
  <c r="I262" i="18"/>
  <c r="I263" i="18"/>
  <c r="I264" i="18"/>
  <c r="I265" i="18"/>
  <c r="I266" i="18"/>
  <c r="I267" i="18"/>
  <c r="I268" i="18"/>
  <c r="I269" i="18"/>
  <c r="I270" i="18"/>
  <c r="I271" i="18"/>
  <c r="I272" i="18"/>
  <c r="I273" i="18"/>
  <c r="I274" i="18"/>
  <c r="I275" i="18"/>
  <c r="I276" i="18"/>
  <c r="I277" i="18"/>
  <c r="I278" i="18"/>
  <c r="I279" i="18"/>
  <c r="I280" i="18"/>
  <c r="I281" i="18"/>
  <c r="I282" i="18"/>
  <c r="I283" i="18"/>
  <c r="I284" i="18"/>
  <c r="I285" i="18"/>
  <c r="I286" i="18"/>
  <c r="I287" i="18"/>
  <c r="I288" i="18"/>
  <c r="I289" i="18"/>
  <c r="I290" i="18"/>
  <c r="I291" i="18"/>
  <c r="I292" i="18"/>
  <c r="I293" i="18"/>
  <c r="I294" i="18"/>
  <c r="I295" i="18"/>
  <c r="I296" i="18"/>
  <c r="I297" i="18"/>
  <c r="I298" i="18"/>
  <c r="I299" i="18"/>
  <c r="I300" i="18"/>
  <c r="I301" i="18"/>
  <c r="I302" i="18"/>
  <c r="I303" i="18"/>
  <c r="I304" i="18"/>
  <c r="I305" i="18"/>
  <c r="I306" i="18"/>
  <c r="I307" i="18"/>
  <c r="I308" i="18"/>
  <c r="I309" i="18"/>
  <c r="I310" i="18"/>
  <c r="I311" i="18"/>
  <c r="I312" i="18"/>
  <c r="I313" i="18"/>
  <c r="I314" i="18"/>
  <c r="I315" i="18"/>
  <c r="I316" i="18"/>
  <c r="I317" i="18"/>
  <c r="I318" i="18"/>
  <c r="I319" i="18"/>
  <c r="I320" i="18"/>
  <c r="I321" i="18"/>
  <c r="I322" i="18"/>
  <c r="I323" i="18"/>
  <c r="I324" i="18"/>
  <c r="I325" i="18"/>
  <c r="I326" i="18"/>
  <c r="I327" i="18"/>
  <c r="I328" i="18"/>
  <c r="I329" i="18"/>
  <c r="I330" i="18"/>
  <c r="I331" i="18"/>
  <c r="I332" i="18"/>
  <c r="I333" i="18"/>
  <c r="I334" i="18"/>
  <c r="I335" i="18"/>
  <c r="I336" i="18"/>
  <c r="I337" i="18"/>
  <c r="I338" i="18"/>
  <c r="I339" i="18"/>
  <c r="I340" i="18"/>
  <c r="I341" i="18"/>
  <c r="I342" i="18"/>
  <c r="I343" i="18"/>
  <c r="I344" i="18"/>
  <c r="I345" i="18"/>
  <c r="I346" i="18"/>
  <c r="I347" i="18"/>
  <c r="I348" i="18"/>
  <c r="I349" i="18"/>
  <c r="I350" i="18"/>
  <c r="I351" i="18"/>
  <c r="I352" i="18"/>
  <c r="I353" i="18"/>
  <c r="I361" i="18"/>
  <c r="I364" i="18"/>
  <c r="I365" i="18"/>
  <c r="I366" i="18"/>
  <c r="I367" i="18"/>
  <c r="I368" i="18"/>
  <c r="I369" i="18"/>
  <c r="I370" i="18"/>
  <c r="I371" i="18"/>
  <c r="I372" i="18"/>
  <c r="I373" i="18"/>
  <c r="I374" i="18"/>
  <c r="I375" i="18"/>
  <c r="I376" i="18"/>
  <c r="I377" i="18"/>
  <c r="I378" i="18"/>
  <c r="I379" i="18"/>
  <c r="I380" i="18"/>
  <c r="I381" i="18"/>
  <c r="I382" i="18"/>
  <c r="I383" i="18"/>
  <c r="I384" i="18"/>
  <c r="I385" i="18"/>
  <c r="I386" i="18"/>
  <c r="I387" i="18"/>
  <c r="I388" i="18"/>
  <c r="I389" i="18"/>
  <c r="I390" i="18"/>
  <c r="J56" i="16"/>
  <c r="K56" i="16"/>
  <c r="L56" i="16"/>
  <c r="M56" i="16"/>
  <c r="N56" i="16"/>
  <c r="I8" i="18" l="1" a="1"/>
  <c r="I8" i="18" s="1"/>
  <c r="I290" i="16"/>
  <c r="J290" i="16"/>
  <c r="K290" i="16"/>
  <c r="L290" i="16"/>
  <c r="M290" i="16"/>
  <c r="N290" i="16"/>
  <c r="N154" i="16"/>
  <c r="G147" i="16"/>
  <c r="H147" i="16"/>
  <c r="I147" i="16"/>
  <c r="J147" i="16"/>
  <c r="K147" i="16"/>
  <c r="L147" i="16"/>
  <c r="M147" i="16"/>
  <c r="N147" i="16"/>
  <c r="F147" i="16"/>
  <c r="I22" i="16"/>
  <c r="J22" i="16"/>
  <c r="K22" i="16"/>
  <c r="L22" i="16"/>
  <c r="M22" i="16"/>
  <c r="N22" i="16"/>
  <c r="I61" i="16"/>
  <c r="J61" i="16"/>
  <c r="K61" i="16"/>
  <c r="L61" i="16"/>
  <c r="M61" i="16"/>
  <c r="N61" i="16"/>
  <c r="I44" i="16"/>
  <c r="I43" i="16" s="1"/>
  <c r="J44" i="16"/>
  <c r="J43" i="16" s="1"/>
  <c r="K44" i="16"/>
  <c r="K43" i="16" s="1"/>
  <c r="L44" i="16"/>
  <c r="L43" i="16" s="1"/>
  <c r="M44" i="16"/>
  <c r="N44" i="16"/>
  <c r="N43" i="16" s="1"/>
  <c r="M43" i="16"/>
  <c r="G39" i="16"/>
  <c r="H39" i="16"/>
  <c r="F39" i="16"/>
  <c r="A4" i="18" l="1"/>
  <c r="O4" i="16" l="1"/>
  <c r="G62" i="16"/>
  <c r="H62" i="16"/>
  <c r="G63" i="16"/>
  <c r="H63" i="16"/>
  <c r="F63" i="16"/>
  <c r="F62" i="16"/>
  <c r="G61" i="16"/>
  <c r="G57" i="16"/>
  <c r="H57" i="16"/>
  <c r="G58" i="16"/>
  <c r="H58" i="16"/>
  <c r="G59" i="16"/>
  <c r="H59" i="16"/>
  <c r="G60" i="16"/>
  <c r="H60" i="16"/>
  <c r="F58" i="16"/>
  <c r="F59" i="16"/>
  <c r="F60" i="16"/>
  <c r="F57" i="16"/>
  <c r="G56" i="16"/>
  <c r="G45" i="16"/>
  <c r="H45" i="16"/>
  <c r="G46" i="16"/>
  <c r="H46" i="16"/>
  <c r="G47" i="16"/>
  <c r="H47" i="16"/>
  <c r="G48" i="16"/>
  <c r="H48" i="16"/>
  <c r="G49" i="16"/>
  <c r="H49" i="16"/>
  <c r="G50" i="16"/>
  <c r="H50" i="16"/>
  <c r="G51" i="16"/>
  <c r="H51" i="16"/>
  <c r="G52" i="16"/>
  <c r="H52" i="16"/>
  <c r="G53" i="16"/>
  <c r="H53" i="16"/>
  <c r="G54" i="16"/>
  <c r="H54" i="16"/>
  <c r="F46" i="16"/>
  <c r="F47" i="16"/>
  <c r="F48" i="16"/>
  <c r="F49" i="16"/>
  <c r="F50" i="16"/>
  <c r="F51" i="16"/>
  <c r="F52" i="16"/>
  <c r="F53" i="16"/>
  <c r="F54" i="16"/>
  <c r="F45" i="16"/>
  <c r="G55" i="16"/>
  <c r="H55" i="16"/>
  <c r="F55" i="16"/>
  <c r="O43" i="16"/>
  <c r="O56" i="16"/>
  <c r="H61" i="16" l="1"/>
  <c r="H56" i="16"/>
  <c r="F56" i="16"/>
  <c r="H44" i="16"/>
  <c r="G44" i="16"/>
  <c r="F44" i="16"/>
  <c r="F61" i="16"/>
  <c r="F43" i="16" l="1"/>
  <c r="H286" i="16" l="1"/>
  <c r="H287" i="16"/>
  <c r="H288" i="16"/>
  <c r="H289" i="16"/>
  <c r="H283" i="16"/>
  <c r="H284" i="16"/>
  <c r="H285" i="16"/>
  <c r="G286" i="16"/>
  <c r="G287" i="16"/>
  <c r="G288" i="16"/>
  <c r="G289" i="16"/>
  <c r="G283" i="16"/>
  <c r="G284" i="16"/>
  <c r="G285" i="16"/>
  <c r="F286" i="16"/>
  <c r="F287" i="16"/>
  <c r="F288" i="16"/>
  <c r="F289" i="16"/>
  <c r="F283" i="16"/>
  <c r="F284" i="16"/>
  <c r="F285" i="16"/>
  <c r="F282" i="16" l="1"/>
  <c r="G282" i="16"/>
  <c r="H282" i="16"/>
  <c r="A828" i="18"/>
  <c r="O5" i="16" l="1"/>
  <c r="D886" i="18"/>
  <c r="DF55" i="8" l="1"/>
  <c r="AO24" i="8" l="1"/>
  <c r="J4" i="97" l="1"/>
  <c r="G33" i="97" l="1"/>
  <c r="H33" i="97"/>
  <c r="I33" i="97"/>
  <c r="F33" i="97"/>
  <c r="J23" i="97"/>
  <c r="G74" i="96"/>
  <c r="J28" i="97" l="1"/>
  <c r="J18" i="97"/>
  <c r="J8" i="97"/>
  <c r="G34" i="97" l="1"/>
  <c r="H34" i="97"/>
  <c r="I34" i="97"/>
  <c r="G36" i="97"/>
  <c r="H36" i="97"/>
  <c r="I36" i="97"/>
  <c r="F34" i="97"/>
  <c r="G27" i="97"/>
  <c r="H27" i="97"/>
  <c r="I27" i="97"/>
  <c r="F27" i="97"/>
  <c r="G14" i="97"/>
  <c r="H14" i="97"/>
  <c r="I14" i="97"/>
  <c r="F14" i="97"/>
  <c r="G7" i="97"/>
  <c r="H7" i="97"/>
  <c r="I7" i="97"/>
  <c r="F7" i="97"/>
  <c r="I13" i="97" l="1"/>
  <c r="I4" i="97" s="1"/>
  <c r="H13" i="97"/>
  <c r="H4" i="97" s="1"/>
  <c r="G13" i="97"/>
  <c r="G4" i="97" s="1"/>
  <c r="F13" i="97"/>
  <c r="F4" i="97" s="1"/>
  <c r="G41" i="97"/>
  <c r="D42" i="97"/>
  <c r="G38" i="97"/>
  <c r="E38" i="97"/>
  <c r="E41" i="97" s="1"/>
  <c r="D39" i="97"/>
  <c r="D69" i="96" l="1"/>
  <c r="D57" i="96"/>
  <c r="D42" i="96"/>
  <c r="H265" i="16" l="1"/>
  <c r="G265" i="16"/>
  <c r="F265" i="16"/>
  <c r="G36" i="16" l="1"/>
  <c r="H36" i="16"/>
  <c r="G37" i="16"/>
  <c r="H37" i="16"/>
  <c r="F37" i="16"/>
  <c r="D630" i="18"/>
  <c r="D629" i="18"/>
  <c r="D285" i="18" l="1"/>
  <c r="H115" i="16" l="1"/>
  <c r="L98" i="16" l="1"/>
  <c r="L102" i="16"/>
  <c r="L113" i="16"/>
  <c r="L118" i="16"/>
  <c r="L117" i="16" s="1"/>
  <c r="L122" i="16"/>
  <c r="L124" i="16"/>
  <c r="L126" i="16"/>
  <c r="L129" i="16"/>
  <c r="L133" i="16"/>
  <c r="L163" i="16"/>
  <c r="L277" i="16"/>
  <c r="H68" i="16"/>
  <c r="H69" i="16"/>
  <c r="H70" i="16"/>
  <c r="H71" i="16"/>
  <c r="H72" i="16"/>
  <c r="H73" i="16"/>
  <c r="G68" i="16"/>
  <c r="G69" i="16"/>
  <c r="G70" i="16"/>
  <c r="G71" i="16"/>
  <c r="G72" i="16"/>
  <c r="G73" i="16"/>
  <c r="G67" i="16"/>
  <c r="H67" i="16"/>
  <c r="F68" i="16"/>
  <c r="F69" i="16"/>
  <c r="F70" i="16"/>
  <c r="F71" i="16"/>
  <c r="F72" i="16"/>
  <c r="F73" i="16"/>
  <c r="I66" i="16"/>
  <c r="J66" i="16"/>
  <c r="J65" i="16" s="1"/>
  <c r="J21" i="16" s="1"/>
  <c r="K66" i="16"/>
  <c r="K65" i="16" s="1"/>
  <c r="K21" i="16" s="1"/>
  <c r="L66" i="16"/>
  <c r="L65" i="16" s="1"/>
  <c r="L21" i="16" s="1"/>
  <c r="M66" i="16"/>
  <c r="M65" i="16" s="1"/>
  <c r="M21" i="16" s="1"/>
  <c r="N66" i="16"/>
  <c r="N65" i="16" s="1"/>
  <c r="N21" i="16" s="1"/>
  <c r="O66" i="16"/>
  <c r="F67" i="16"/>
  <c r="I65" i="16"/>
  <c r="I21" i="16" s="1"/>
  <c r="D769" i="18"/>
  <c r="D768" i="18"/>
  <c r="L276" i="16" l="1"/>
  <c r="L154" i="16"/>
  <c r="L128" i="16"/>
  <c r="L116" i="16"/>
  <c r="L101" i="16"/>
  <c r="H66" i="16"/>
  <c r="H65" i="16" s="1"/>
  <c r="F66" i="16"/>
  <c r="F65" i="16" s="1"/>
  <c r="G66" i="16"/>
  <c r="G65" i="16" s="1"/>
  <c r="L162" i="16" l="1"/>
  <c r="L75" i="16"/>
  <c r="G171" i="16"/>
  <c r="H171" i="16"/>
  <c r="G172" i="16"/>
  <c r="H172" i="16"/>
  <c r="F172" i="16"/>
  <c r="F171" i="16"/>
  <c r="L74" i="16" l="1"/>
  <c r="D681" i="18"/>
  <c r="D199" i="18"/>
  <c r="F219" i="16" l="1"/>
  <c r="G219" i="16"/>
  <c r="H219" i="16"/>
  <c r="F220" i="16"/>
  <c r="G220" i="16"/>
  <c r="H220" i="16"/>
  <c r="G218" i="16"/>
  <c r="H218" i="16"/>
  <c r="F218" i="16"/>
  <c r="D502" i="18"/>
  <c r="D134" i="18" l="1"/>
  <c r="G173" i="16" l="1"/>
  <c r="H173" i="16"/>
  <c r="G174" i="16"/>
  <c r="H174" i="16"/>
  <c r="F173" i="16"/>
  <c r="F174" i="16"/>
  <c r="D807" i="18" l="1"/>
  <c r="H167" i="16" l="1"/>
  <c r="H168" i="16"/>
  <c r="G167" i="16"/>
  <c r="G168" i="16"/>
  <c r="F167" i="16"/>
  <c r="F168" i="16"/>
  <c r="D400" i="18" l="1"/>
  <c r="D401" i="18"/>
  <c r="D624" i="18" l="1"/>
  <c r="D359" i="18" l="1"/>
  <c r="J296" i="16" l="1"/>
  <c r="K296" i="16"/>
  <c r="M296" i="16"/>
  <c r="N296" i="16"/>
  <c r="I297" i="16"/>
  <c r="I296" i="16" s="1"/>
  <c r="G298" i="16"/>
  <c r="H298" i="16"/>
  <c r="G299" i="16"/>
  <c r="H299" i="16"/>
  <c r="O297" i="16"/>
  <c r="H297" i="16" l="1"/>
  <c r="G297" i="16"/>
  <c r="H275" i="16" l="1"/>
  <c r="G275" i="16"/>
  <c r="F275" i="16"/>
  <c r="H274" i="16" l="1"/>
  <c r="G274" i="16"/>
  <c r="F274" i="16"/>
  <c r="D295" i="18" l="1"/>
  <c r="D284" i="18"/>
  <c r="O281" i="16" l="1"/>
  <c r="D397" i="18" l="1"/>
  <c r="D253" i="18" l="1"/>
  <c r="D254" i="18"/>
  <c r="O146" i="16" l="1"/>
  <c r="G146" i="16"/>
  <c r="H146" i="16"/>
  <c r="F146" i="16"/>
  <c r="D433" i="18"/>
  <c r="H170" i="16" l="1"/>
  <c r="G170" i="16"/>
  <c r="F170" i="16"/>
  <c r="D108" i="18" l="1"/>
  <c r="D109" i="18"/>
  <c r="G138" i="16" l="1"/>
  <c r="H138" i="16"/>
  <c r="F138" i="16"/>
  <c r="O138" i="16" l="1"/>
  <c r="D772" i="18" l="1"/>
  <c r="D773" i="18"/>
  <c r="D775" i="18"/>
  <c r="D628" i="18" l="1"/>
  <c r="G296" i="16" l="1"/>
  <c r="H296" i="16"/>
  <c r="G293" i="16"/>
  <c r="G290" i="16" s="1"/>
  <c r="H293" i="16"/>
  <c r="H290" i="16" s="1"/>
  <c r="F293" i="16"/>
  <c r="F290" i="16" s="1"/>
  <c r="G281" i="16"/>
  <c r="G279" i="16" s="1"/>
  <c r="H281" i="16"/>
  <c r="H279" i="16" s="1"/>
  <c r="F281" i="16"/>
  <c r="F279" i="16" s="1"/>
  <c r="G278" i="16"/>
  <c r="G277" i="16" s="1"/>
  <c r="H278" i="16"/>
  <c r="F278" i="16"/>
  <c r="F277" i="16" s="1"/>
  <c r="G270" i="16"/>
  <c r="H270" i="16"/>
  <c r="G271" i="16"/>
  <c r="H271" i="16"/>
  <c r="G272" i="16"/>
  <c r="H272" i="16"/>
  <c r="G273" i="16"/>
  <c r="H273" i="16"/>
  <c r="F271" i="16"/>
  <c r="F272" i="16"/>
  <c r="F273" i="16"/>
  <c r="F270" i="16"/>
  <c r="G266" i="16"/>
  <c r="H266" i="16"/>
  <c r="G267" i="16"/>
  <c r="H267" i="16"/>
  <c r="G268" i="16"/>
  <c r="H268" i="16"/>
  <c r="G269" i="16"/>
  <c r="H269" i="16"/>
  <c r="F267" i="16"/>
  <c r="F268" i="16"/>
  <c r="F269" i="16"/>
  <c r="F266" i="16"/>
  <c r="G257" i="16"/>
  <c r="H257" i="16"/>
  <c r="G258" i="16"/>
  <c r="H258" i="16"/>
  <c r="G259" i="16"/>
  <c r="H259" i="16"/>
  <c r="G260" i="16"/>
  <c r="H260" i="16"/>
  <c r="G261" i="16"/>
  <c r="H261" i="16"/>
  <c r="G262" i="16"/>
  <c r="H262" i="16"/>
  <c r="G263" i="16"/>
  <c r="H263" i="16"/>
  <c r="G264" i="16"/>
  <c r="H264" i="16"/>
  <c r="F258" i="16"/>
  <c r="F259" i="16"/>
  <c r="F260" i="16"/>
  <c r="F261" i="16"/>
  <c r="F262" i="16"/>
  <c r="F263" i="16"/>
  <c r="F264" i="16"/>
  <c r="F257" i="16"/>
  <c r="G253" i="16"/>
  <c r="H253" i="16"/>
  <c r="G254" i="16"/>
  <c r="H254" i="16"/>
  <c r="G255" i="16"/>
  <c r="H255" i="16"/>
  <c r="G256" i="16"/>
  <c r="H256" i="16"/>
  <c r="F254" i="16"/>
  <c r="F255" i="16"/>
  <c r="F256" i="16"/>
  <c r="F253" i="16"/>
  <c r="G249" i="16"/>
  <c r="H249" i="16"/>
  <c r="G250" i="16"/>
  <c r="H250" i="16"/>
  <c r="G251" i="16"/>
  <c r="H251" i="16"/>
  <c r="G252" i="16"/>
  <c r="H252" i="16"/>
  <c r="F250" i="16"/>
  <c r="F251" i="16"/>
  <c r="F252" i="16"/>
  <c r="F249" i="16"/>
  <c r="G242" i="16"/>
  <c r="H242" i="16"/>
  <c r="G243" i="16"/>
  <c r="H243" i="16"/>
  <c r="G244" i="16"/>
  <c r="H244" i="16"/>
  <c r="G245" i="16"/>
  <c r="H245" i="16"/>
  <c r="G246" i="16"/>
  <c r="H246" i="16"/>
  <c r="G247" i="16"/>
  <c r="H247" i="16"/>
  <c r="G248" i="16"/>
  <c r="H248" i="16"/>
  <c r="F243" i="16"/>
  <c r="F244" i="16"/>
  <c r="F245" i="16"/>
  <c r="F246" i="16"/>
  <c r="F247" i="16"/>
  <c r="F248" i="16"/>
  <c r="F242" i="16"/>
  <c r="G238" i="16"/>
  <c r="H238" i="16"/>
  <c r="G239" i="16"/>
  <c r="H239" i="16"/>
  <c r="G240" i="16"/>
  <c r="H240" i="16"/>
  <c r="G241" i="16"/>
  <c r="H241" i="16"/>
  <c r="F239" i="16"/>
  <c r="F240" i="16"/>
  <c r="F241" i="16"/>
  <c r="F238" i="16"/>
  <c r="G234" i="16"/>
  <c r="H234" i="16"/>
  <c r="G235" i="16"/>
  <c r="H235" i="16"/>
  <c r="G236" i="16"/>
  <c r="H236" i="16"/>
  <c r="G237" i="16"/>
  <c r="H237" i="16"/>
  <c r="F235" i="16"/>
  <c r="F236" i="16"/>
  <c r="F237" i="16"/>
  <c r="F234" i="16"/>
  <c r="G221" i="16"/>
  <c r="H221" i="16"/>
  <c r="G222" i="16"/>
  <c r="H222" i="16"/>
  <c r="G223" i="16"/>
  <c r="H223" i="16"/>
  <c r="G224" i="16"/>
  <c r="H224" i="16"/>
  <c r="G225" i="16"/>
  <c r="H225" i="16"/>
  <c r="G226" i="16"/>
  <c r="H226" i="16"/>
  <c r="G227" i="16"/>
  <c r="H227" i="16"/>
  <c r="G228" i="16"/>
  <c r="H228" i="16"/>
  <c r="G229" i="16"/>
  <c r="H229" i="16"/>
  <c r="G230" i="16"/>
  <c r="H230" i="16"/>
  <c r="G231" i="16"/>
  <c r="H231" i="16"/>
  <c r="G232" i="16"/>
  <c r="H232" i="16"/>
  <c r="G233" i="16"/>
  <c r="H233" i="16"/>
  <c r="F222" i="16"/>
  <c r="F223" i="16"/>
  <c r="F224" i="16"/>
  <c r="F225" i="16"/>
  <c r="F226" i="16"/>
  <c r="F227" i="16"/>
  <c r="F228" i="16"/>
  <c r="F229" i="16"/>
  <c r="F230" i="16"/>
  <c r="F231" i="16"/>
  <c r="F232" i="16"/>
  <c r="F233" i="16"/>
  <c r="F221" i="16"/>
  <c r="F216" i="16"/>
  <c r="G216" i="16"/>
  <c r="H216" i="16"/>
  <c r="F217" i="16"/>
  <c r="G217" i="16"/>
  <c r="H217" i="16"/>
  <c r="G215" i="16"/>
  <c r="H215" i="16"/>
  <c r="F215" i="16"/>
  <c r="F205" i="16"/>
  <c r="G205" i="16"/>
  <c r="H205" i="16"/>
  <c r="F206" i="16"/>
  <c r="G206" i="16"/>
  <c r="H206" i="16"/>
  <c r="F207" i="16"/>
  <c r="G207" i="16"/>
  <c r="H207" i="16"/>
  <c r="F208" i="16"/>
  <c r="G208" i="16"/>
  <c r="H208" i="16"/>
  <c r="F209" i="16"/>
  <c r="G209" i="16"/>
  <c r="H209" i="16"/>
  <c r="F210" i="16"/>
  <c r="G210" i="16"/>
  <c r="H210" i="16"/>
  <c r="F211" i="16"/>
  <c r="G211" i="16"/>
  <c r="H211" i="16"/>
  <c r="F212" i="16"/>
  <c r="G212" i="16"/>
  <c r="H212" i="16"/>
  <c r="F213" i="16"/>
  <c r="G213" i="16"/>
  <c r="H213" i="16"/>
  <c r="F214" i="16"/>
  <c r="G214" i="16"/>
  <c r="H214" i="16"/>
  <c r="G204" i="16"/>
  <c r="H204" i="16"/>
  <c r="F204" i="16"/>
  <c r="G194" i="16"/>
  <c r="H194" i="16"/>
  <c r="G195" i="16"/>
  <c r="H195" i="16"/>
  <c r="G196" i="16"/>
  <c r="H196" i="16"/>
  <c r="G197" i="16"/>
  <c r="H197" i="16"/>
  <c r="G198" i="16"/>
  <c r="H198" i="16"/>
  <c r="G199" i="16"/>
  <c r="H199" i="16"/>
  <c r="G200" i="16"/>
  <c r="H200" i="16"/>
  <c r="G201" i="16"/>
  <c r="H201" i="16"/>
  <c r="G202" i="16"/>
  <c r="H202" i="16"/>
  <c r="G203" i="16"/>
  <c r="H203" i="16"/>
  <c r="F195" i="16"/>
  <c r="F196" i="16"/>
  <c r="F197" i="16"/>
  <c r="F198" i="16"/>
  <c r="F199" i="16"/>
  <c r="F200" i="16"/>
  <c r="F201" i="16"/>
  <c r="F202" i="16"/>
  <c r="F203" i="16"/>
  <c r="F194" i="16"/>
  <c r="G192" i="16"/>
  <c r="H192" i="16"/>
  <c r="G193" i="16"/>
  <c r="H193" i="16"/>
  <c r="F193" i="16"/>
  <c r="F192" i="16"/>
  <c r="G190" i="16"/>
  <c r="H190" i="16"/>
  <c r="G191" i="16"/>
  <c r="H191" i="16"/>
  <c r="F191" i="16"/>
  <c r="F190" i="16"/>
  <c r="G187" i="16"/>
  <c r="H187" i="16"/>
  <c r="G188" i="16"/>
  <c r="H188" i="16"/>
  <c r="G189" i="16"/>
  <c r="H189" i="16"/>
  <c r="F188" i="16"/>
  <c r="F189" i="16"/>
  <c r="F187" i="16"/>
  <c r="F180" i="16"/>
  <c r="G180" i="16"/>
  <c r="H180" i="16"/>
  <c r="F181" i="16"/>
  <c r="G181" i="16"/>
  <c r="H181" i="16"/>
  <c r="F182" i="16"/>
  <c r="G182" i="16"/>
  <c r="H182" i="16"/>
  <c r="F183" i="16"/>
  <c r="G183" i="16"/>
  <c r="H183" i="16"/>
  <c r="F184" i="16"/>
  <c r="G184" i="16"/>
  <c r="H184" i="16"/>
  <c r="G179" i="16"/>
  <c r="H179" i="16"/>
  <c r="F179" i="16"/>
  <c r="F177" i="16"/>
  <c r="G177" i="16"/>
  <c r="H177" i="16"/>
  <c r="F178" i="16"/>
  <c r="G178" i="16"/>
  <c r="H178" i="16"/>
  <c r="G176" i="16"/>
  <c r="H176" i="16"/>
  <c r="F176" i="16"/>
  <c r="G169" i="16"/>
  <c r="H169" i="16"/>
  <c r="F169" i="16"/>
  <c r="G166" i="16"/>
  <c r="H166" i="16"/>
  <c r="F166" i="16"/>
  <c r="G164" i="16"/>
  <c r="G163" i="16" s="1"/>
  <c r="H164" i="16"/>
  <c r="F164" i="16"/>
  <c r="F163" i="16" s="1"/>
  <c r="G144" i="16"/>
  <c r="H144" i="16"/>
  <c r="G145" i="16"/>
  <c r="H145" i="16"/>
  <c r="F145" i="16"/>
  <c r="F144" i="16"/>
  <c r="G142" i="16"/>
  <c r="H142" i="16"/>
  <c r="G143" i="16"/>
  <c r="H143" i="16"/>
  <c r="F143" i="16"/>
  <c r="F142" i="16"/>
  <c r="F140" i="16"/>
  <c r="G140" i="16"/>
  <c r="H140" i="16"/>
  <c r="F141" i="16"/>
  <c r="G141" i="16"/>
  <c r="H141" i="16"/>
  <c r="G139" i="16"/>
  <c r="H139" i="16"/>
  <c r="F139" i="16"/>
  <c r="F135" i="16"/>
  <c r="G135" i="16"/>
  <c r="H135" i="16"/>
  <c r="F136" i="16"/>
  <c r="G136" i="16"/>
  <c r="H136" i="16"/>
  <c r="G134" i="16"/>
  <c r="H134" i="16"/>
  <c r="F134" i="16"/>
  <c r="G130" i="16"/>
  <c r="H130" i="16"/>
  <c r="G131" i="16"/>
  <c r="H131" i="16"/>
  <c r="G132" i="16"/>
  <c r="H132" i="16"/>
  <c r="F131" i="16"/>
  <c r="F132" i="16"/>
  <c r="F130" i="16"/>
  <c r="G158" i="16"/>
  <c r="H158" i="16"/>
  <c r="G159" i="16"/>
  <c r="H159" i="16"/>
  <c r="G160" i="16"/>
  <c r="H160" i="16"/>
  <c r="G161" i="16"/>
  <c r="H161" i="16"/>
  <c r="F159" i="16"/>
  <c r="F160" i="16"/>
  <c r="F161" i="16"/>
  <c r="F158" i="16"/>
  <c r="G156" i="16"/>
  <c r="H156" i="16"/>
  <c r="G157" i="16"/>
  <c r="H157" i="16"/>
  <c r="F157" i="16"/>
  <c r="F156" i="16"/>
  <c r="G127" i="16"/>
  <c r="G126" i="16" s="1"/>
  <c r="H127" i="16"/>
  <c r="F127" i="16"/>
  <c r="F126" i="16" s="1"/>
  <c r="G125" i="16"/>
  <c r="G124" i="16" s="1"/>
  <c r="H125" i="16"/>
  <c r="F125" i="16"/>
  <c r="F124" i="16" s="1"/>
  <c r="G123" i="16"/>
  <c r="G122" i="16" s="1"/>
  <c r="H123" i="16"/>
  <c r="F123" i="16"/>
  <c r="F122" i="16" s="1"/>
  <c r="G119" i="16"/>
  <c r="H119" i="16"/>
  <c r="G120" i="16"/>
  <c r="H120" i="16"/>
  <c r="G121" i="16"/>
  <c r="H121" i="16"/>
  <c r="F120" i="16"/>
  <c r="F121" i="16"/>
  <c r="F119" i="16"/>
  <c r="G114" i="16"/>
  <c r="H114" i="16"/>
  <c r="G115" i="16"/>
  <c r="F115" i="16"/>
  <c r="F114" i="16"/>
  <c r="G103" i="16"/>
  <c r="H103" i="16"/>
  <c r="G104" i="16"/>
  <c r="H104" i="16"/>
  <c r="G105" i="16"/>
  <c r="H105" i="16"/>
  <c r="G106" i="16"/>
  <c r="H106" i="16"/>
  <c r="G107" i="16"/>
  <c r="H107" i="16"/>
  <c r="G108" i="16"/>
  <c r="H108" i="16"/>
  <c r="G109" i="16"/>
  <c r="H109" i="16"/>
  <c r="G110" i="16"/>
  <c r="H110" i="16"/>
  <c r="G111" i="16"/>
  <c r="H111" i="16"/>
  <c r="G112" i="16"/>
  <c r="H112" i="16"/>
  <c r="F104" i="16"/>
  <c r="F105" i="16"/>
  <c r="F106" i="16"/>
  <c r="F107" i="16"/>
  <c r="F108" i="16"/>
  <c r="F109" i="16"/>
  <c r="F110" i="16"/>
  <c r="F111" i="16"/>
  <c r="F112" i="16"/>
  <c r="F103" i="16"/>
  <c r="G99" i="16"/>
  <c r="H99" i="16"/>
  <c r="G100" i="16"/>
  <c r="H100" i="16"/>
  <c r="F100" i="16"/>
  <c r="F99" i="16"/>
  <c r="G96" i="16"/>
  <c r="H96" i="16"/>
  <c r="G97" i="16"/>
  <c r="H97" i="16"/>
  <c r="F97" i="16"/>
  <c r="F96" i="16"/>
  <c r="F95" i="16"/>
  <c r="G95" i="16"/>
  <c r="H95" i="16"/>
  <c r="G94" i="16"/>
  <c r="H94" i="16"/>
  <c r="F94" i="16"/>
  <c r="F92" i="16"/>
  <c r="G92" i="16"/>
  <c r="H92" i="16"/>
  <c r="F93" i="16"/>
  <c r="G93" i="16"/>
  <c r="H93" i="16"/>
  <c r="G91" i="16"/>
  <c r="H91" i="16"/>
  <c r="F91" i="16"/>
  <c r="G87" i="16"/>
  <c r="H87" i="16"/>
  <c r="G88" i="16"/>
  <c r="H88" i="16"/>
  <c r="F88" i="16"/>
  <c r="F87" i="16"/>
  <c r="G77" i="16"/>
  <c r="H77" i="16"/>
  <c r="G78" i="16"/>
  <c r="H78" i="16"/>
  <c r="G79" i="16"/>
  <c r="H79" i="16"/>
  <c r="G80" i="16"/>
  <c r="H80" i="16"/>
  <c r="G81" i="16"/>
  <c r="H81" i="16"/>
  <c r="G82" i="16"/>
  <c r="H82" i="16"/>
  <c r="G83" i="16"/>
  <c r="H83" i="16"/>
  <c r="G84" i="16"/>
  <c r="H84" i="16"/>
  <c r="G85" i="16"/>
  <c r="H85" i="16"/>
  <c r="G86" i="16"/>
  <c r="H86" i="16"/>
  <c r="F78" i="16"/>
  <c r="F79" i="16"/>
  <c r="F80" i="16"/>
  <c r="F81" i="16"/>
  <c r="F82" i="16"/>
  <c r="F83" i="16"/>
  <c r="F84" i="16"/>
  <c r="F85" i="16"/>
  <c r="F86" i="16"/>
  <c r="F77" i="16"/>
  <c r="G43" i="16"/>
  <c r="H43" i="16"/>
  <c r="G41" i="16"/>
  <c r="H41" i="16"/>
  <c r="G42" i="16"/>
  <c r="H42" i="16"/>
  <c r="F42" i="16"/>
  <c r="F41" i="16"/>
  <c r="G27" i="16"/>
  <c r="H27" i="16"/>
  <c r="G28" i="16"/>
  <c r="H28" i="16"/>
  <c r="G29" i="16"/>
  <c r="H29" i="16"/>
  <c r="G30" i="16"/>
  <c r="H30" i="16"/>
  <c r="G31" i="16"/>
  <c r="H31" i="16"/>
  <c r="G32" i="16"/>
  <c r="H32" i="16"/>
  <c r="G33" i="16"/>
  <c r="H33" i="16"/>
  <c r="G34" i="16"/>
  <c r="H34" i="16"/>
  <c r="G35" i="16"/>
  <c r="H35" i="16"/>
  <c r="F28" i="16"/>
  <c r="F29" i="16"/>
  <c r="F30" i="16"/>
  <c r="F31" i="16"/>
  <c r="F32" i="16"/>
  <c r="F33" i="16"/>
  <c r="F34" i="16"/>
  <c r="F35" i="16"/>
  <c r="F36" i="16"/>
  <c r="F27" i="16"/>
  <c r="H24" i="16"/>
  <c r="G24" i="16"/>
  <c r="F24" i="16"/>
  <c r="G23" i="16"/>
  <c r="H23" i="16"/>
  <c r="F23" i="16"/>
  <c r="G20" i="16"/>
  <c r="H20" i="16"/>
  <c r="F20" i="16"/>
  <c r="H8" i="16"/>
  <c r="H9" i="16"/>
  <c r="H10" i="16"/>
  <c r="H11" i="16"/>
  <c r="H12" i="16"/>
  <c r="H13" i="16"/>
  <c r="H14" i="16"/>
  <c r="H15" i="16"/>
  <c r="H16" i="16"/>
  <c r="H17" i="16"/>
  <c r="G8" i="16"/>
  <c r="G9" i="16"/>
  <c r="G10" i="16"/>
  <c r="G11" i="16"/>
  <c r="G12" i="16"/>
  <c r="G13" i="16"/>
  <c r="G14" i="16"/>
  <c r="G15" i="16"/>
  <c r="G16" i="16"/>
  <c r="G17" i="16"/>
  <c r="F8" i="16"/>
  <c r="F9" i="16"/>
  <c r="F10" i="16"/>
  <c r="F11" i="16"/>
  <c r="F12" i="16"/>
  <c r="F13" i="16"/>
  <c r="F14" i="16"/>
  <c r="F15" i="16"/>
  <c r="F16" i="16"/>
  <c r="F17" i="16"/>
  <c r="G7" i="16"/>
  <c r="H7" i="16"/>
  <c r="F7" i="16"/>
  <c r="H6" i="16" l="1"/>
  <c r="G6" i="16"/>
  <c r="F6" i="16"/>
  <c r="F76" i="16"/>
  <c r="G76" i="16"/>
  <c r="H76" i="16"/>
  <c r="H165" i="16"/>
  <c r="F155" i="16"/>
  <c r="G155" i="16"/>
  <c r="G154" i="16" s="1"/>
  <c r="H155" i="16"/>
  <c r="F165" i="16"/>
  <c r="G165" i="16"/>
  <c r="F175" i="16"/>
  <c r="G175" i="16"/>
  <c r="H175" i="16"/>
  <c r="H137" i="16"/>
  <c r="H90" i="16"/>
  <c r="F137" i="16"/>
  <c r="G137" i="16"/>
  <c r="F90" i="16"/>
  <c r="G90" i="16"/>
  <c r="H26" i="16"/>
  <c r="H25" i="16" s="1"/>
  <c r="F26" i="16"/>
  <c r="F25" i="16" s="1"/>
  <c r="G26" i="16"/>
  <c r="G25" i="16" s="1"/>
  <c r="F276" i="16"/>
  <c r="G276" i="16"/>
  <c r="H22" i="16"/>
  <c r="G22" i="16"/>
  <c r="F129" i="16"/>
  <c r="F102" i="16"/>
  <c r="F113" i="16"/>
  <c r="F118" i="16"/>
  <c r="F133" i="16"/>
  <c r="G133" i="16"/>
  <c r="G40" i="16"/>
  <c r="G98" i="16"/>
  <c r="G102" i="16"/>
  <c r="G129" i="16"/>
  <c r="G118" i="16"/>
  <c r="G113" i="16"/>
  <c r="F22" i="16"/>
  <c r="F40" i="16"/>
  <c r="F98" i="16"/>
  <c r="G128" i="16" l="1"/>
  <c r="F154" i="16"/>
  <c r="G162" i="16"/>
  <c r="G21" i="16"/>
  <c r="G116" i="16"/>
  <c r="G117" i="16"/>
  <c r="F116" i="16"/>
  <c r="F117" i="16"/>
  <c r="F21" i="16"/>
  <c r="F101" i="16"/>
  <c r="G101" i="16"/>
  <c r="G75" i="16" s="1"/>
  <c r="G74" i="16" l="1"/>
  <c r="G19" i="16" s="1"/>
  <c r="F75" i="16"/>
  <c r="F162" i="16"/>
  <c r="I277" i="16" l="1"/>
  <c r="I276" i="16" s="1"/>
  <c r="J277" i="16"/>
  <c r="J276" i="16" s="1"/>
  <c r="K277" i="16"/>
  <c r="K276" i="16" s="1"/>
  <c r="M277" i="16"/>
  <c r="M276" i="16" s="1"/>
  <c r="N277" i="16"/>
  <c r="N276" i="16" s="1"/>
  <c r="H277" i="16"/>
  <c r="H276" i="16" s="1"/>
  <c r="I163" i="16"/>
  <c r="J163" i="16"/>
  <c r="K163" i="16"/>
  <c r="M163" i="16"/>
  <c r="N163" i="16"/>
  <c r="H163" i="16"/>
  <c r="I133" i="16"/>
  <c r="J133" i="16"/>
  <c r="K133" i="16"/>
  <c r="M133" i="16"/>
  <c r="N133" i="16"/>
  <c r="H133" i="16"/>
  <c r="I129" i="16"/>
  <c r="J129" i="16"/>
  <c r="K129" i="16"/>
  <c r="M129" i="16"/>
  <c r="N129" i="16"/>
  <c r="H129" i="16"/>
  <c r="I154" i="16"/>
  <c r="J154" i="16"/>
  <c r="K154" i="16"/>
  <c r="M154" i="16"/>
  <c r="H154" i="16"/>
  <c r="I126" i="16"/>
  <c r="J126" i="16"/>
  <c r="K126" i="16"/>
  <c r="M126" i="16"/>
  <c r="N126" i="16"/>
  <c r="H126" i="16"/>
  <c r="I124" i="16"/>
  <c r="J124" i="16"/>
  <c r="K124" i="16"/>
  <c r="M124" i="16"/>
  <c r="N124" i="16"/>
  <c r="H124" i="16"/>
  <c r="I122" i="16"/>
  <c r="J122" i="16"/>
  <c r="K122" i="16"/>
  <c r="M122" i="16"/>
  <c r="N122" i="16"/>
  <c r="H122" i="16"/>
  <c r="I118" i="16"/>
  <c r="I117" i="16" s="1"/>
  <c r="J118" i="16"/>
  <c r="J117" i="16" s="1"/>
  <c r="K118" i="16"/>
  <c r="K117" i="16" s="1"/>
  <c r="M118" i="16"/>
  <c r="M117" i="16" s="1"/>
  <c r="N118" i="16"/>
  <c r="N117" i="16" s="1"/>
  <c r="H118" i="16"/>
  <c r="H117" i="16" s="1"/>
  <c r="I113" i="16"/>
  <c r="J113" i="16"/>
  <c r="K113" i="16"/>
  <c r="M113" i="16"/>
  <c r="N113" i="16"/>
  <c r="H113" i="16"/>
  <c r="I102" i="16"/>
  <c r="J102" i="16"/>
  <c r="K102" i="16"/>
  <c r="M102" i="16"/>
  <c r="M101" i="16" s="1"/>
  <c r="N102" i="16"/>
  <c r="H102" i="16"/>
  <c r="I98" i="16"/>
  <c r="J98" i="16"/>
  <c r="K98" i="16"/>
  <c r="M98" i="16"/>
  <c r="N98" i="16"/>
  <c r="H98" i="16"/>
  <c r="H40" i="16"/>
  <c r="H21" i="16" s="1"/>
  <c r="I116" i="16" l="1"/>
  <c r="N162" i="16"/>
  <c r="N116" i="16"/>
  <c r="J116" i="16"/>
  <c r="M116" i="16"/>
  <c r="K116" i="16"/>
  <c r="H128" i="16"/>
  <c r="M128" i="16"/>
  <c r="K128" i="16"/>
  <c r="K101" i="16"/>
  <c r="K75" i="16" s="1"/>
  <c r="I101" i="16"/>
  <c r="N101" i="16"/>
  <c r="N75" i="16" s="1"/>
  <c r="J101" i="16"/>
  <c r="J75" i="16" s="1"/>
  <c r="N128" i="16"/>
  <c r="J128" i="16"/>
  <c r="I128" i="16"/>
  <c r="H101" i="16"/>
  <c r="D372" i="18"/>
  <c r="J162" i="16" l="1"/>
  <c r="J74" i="16" s="1"/>
  <c r="J19" i="16" s="1"/>
  <c r="K162" i="16"/>
  <c r="K74" i="16" s="1"/>
  <c r="K19" i="16" s="1"/>
  <c r="N74" i="16"/>
  <c r="I162" i="16"/>
  <c r="H162" i="16"/>
  <c r="M162" i="16"/>
  <c r="I75" i="16"/>
  <c r="M75" i="16"/>
  <c r="H75" i="16"/>
  <c r="O124" i="16"/>
  <c r="O122" i="16"/>
  <c r="M74" i="16" l="1"/>
  <c r="M19" i="16" s="1"/>
  <c r="I74" i="16"/>
  <c r="I19" i="16" s="1"/>
  <c r="N19" i="16"/>
  <c r="O40" i="16"/>
  <c r="O44" i="16"/>
  <c r="O19" i="16"/>
  <c r="O6" i="16"/>
  <c r="D127" i="18" l="1"/>
  <c r="D617" i="18"/>
  <c r="D426" i="18" l="1"/>
  <c r="D625" i="18" l="1"/>
  <c r="D487" i="18" l="1"/>
  <c r="D414" i="18" l="1"/>
  <c r="D544" i="18" l="1"/>
  <c r="D545" i="18"/>
  <c r="D546" i="18"/>
  <c r="D547" i="18"/>
  <c r="D43" i="18" l="1"/>
  <c r="D736" i="18" l="1"/>
  <c r="D79" i="18" l="1"/>
  <c r="D792" i="18" l="1"/>
  <c r="D497" i="18" l="1"/>
  <c r="D339" i="18" l="1"/>
  <c r="D318" i="18"/>
  <c r="D633" i="18" l="1"/>
  <c r="D632" i="18"/>
  <c r="D634" i="18"/>
  <c r="D42" i="18" l="1"/>
  <c r="D358" i="18" l="1"/>
  <c r="O113" i="16"/>
  <c r="D765" i="18"/>
  <c r="D766" i="18"/>
  <c r="D767" i="18"/>
  <c r="D770" i="18"/>
  <c r="D771" i="18"/>
  <c r="D802" i="18"/>
  <c r="D325" i="18" l="1"/>
  <c r="D313" i="18" l="1"/>
  <c r="D324" i="18"/>
  <c r="D626" i="18" l="1"/>
  <c r="D623" i="18"/>
  <c r="D627" i="18"/>
  <c r="D595" i="18"/>
  <c r="D338" i="18" l="1"/>
  <c r="D805" i="18" l="1"/>
  <c r="D493" i="18" l="1"/>
  <c r="D439" i="18"/>
  <c r="D340" i="18" l="1"/>
  <c r="D615" i="18" l="1"/>
  <c r="D605" i="18" l="1"/>
  <c r="D341" i="18" l="1"/>
  <c r="D684" i="18"/>
  <c r="D201" i="18"/>
  <c r="D683" i="18"/>
  <c r="D200" i="18"/>
  <c r="D309" i="18" l="1"/>
  <c r="D184" i="18" l="1"/>
  <c r="D343" i="18" l="1"/>
  <c r="D616" i="18" l="1"/>
  <c r="D371" i="18" l="1"/>
  <c r="D524" i="18" l="1"/>
  <c r="D465" i="18" l="1"/>
  <c r="D367" i="18" l="1"/>
  <c r="D788" i="18" l="1"/>
  <c r="D406" i="18"/>
  <c r="D606" i="18"/>
  <c r="D461" i="18"/>
  <c r="D521" i="18"/>
  <c r="D645" i="18"/>
  <c r="D676" i="18"/>
  <c r="D710" i="18"/>
  <c r="D741" i="18"/>
  <c r="D457" i="18" l="1"/>
  <c r="D396" i="18" l="1"/>
  <c r="D409" i="18" l="1"/>
  <c r="D682" i="18" l="1"/>
  <c r="D600" i="18" l="1"/>
  <c r="D121" i="18" l="1"/>
  <c r="D584" i="18" l="1"/>
  <c r="D585" i="18"/>
  <c r="D575" i="18"/>
  <c r="D576" i="18"/>
  <c r="D556" i="18"/>
  <c r="D557" i="18"/>
  <c r="D123" i="18" l="1"/>
  <c r="D124" i="18"/>
  <c r="D565" i="18"/>
  <c r="D566" i="18"/>
  <c r="D596" i="18"/>
  <c r="D594" i="18"/>
  <c r="D614" i="18"/>
  <c r="D613" i="18"/>
  <c r="D612" i="18"/>
  <c r="D610" i="18"/>
  <c r="D486" i="18" l="1"/>
  <c r="D513" i="18" l="1"/>
  <c r="D515" i="18"/>
  <c r="D530" i="18"/>
  <c r="D106" i="18"/>
  <c r="D93" i="18"/>
  <c r="D529" i="18"/>
  <c r="D528" i="18"/>
  <c r="D527" i="18"/>
  <c r="D453" i="18" l="1"/>
  <c r="D456" i="18"/>
  <c r="D472" i="18"/>
  <c r="D471" i="18"/>
  <c r="D468" i="18"/>
  <c r="D724" i="18"/>
  <c r="D245" i="18"/>
  <c r="D236" i="18"/>
  <c r="D225" i="18"/>
  <c r="D705" i="18"/>
  <c r="D702" i="18"/>
  <c r="D222" i="18"/>
  <c r="D224" i="18"/>
  <c r="D704" i="18"/>
  <c r="D660" i="18"/>
  <c r="D174" i="18"/>
  <c r="D146" i="18"/>
  <c r="D153" i="18" l="1"/>
  <c r="D639" i="18"/>
  <c r="D640" i="18"/>
  <c r="D637" i="18"/>
  <c r="O118" i="16" l="1"/>
  <c r="D16" i="18" l="1"/>
  <c r="D413" i="18"/>
  <c r="D421" i="18"/>
  <c r="D436" i="18"/>
  <c r="D392" i="18"/>
  <c r="D438" i="18"/>
  <c r="D394" i="18"/>
  <c r="D500" i="18"/>
  <c r="D492" i="18"/>
  <c r="D490" i="18"/>
  <c r="D56" i="18" l="1"/>
  <c r="D464" i="18"/>
  <c r="D494" i="18"/>
  <c r="D734" i="18" l="1"/>
  <c r="D301" i="18"/>
  <c r="D298" i="18"/>
  <c r="D731" i="18"/>
  <c r="D300" i="18"/>
  <c r="D302" i="18"/>
  <c r="D733" i="18"/>
  <c r="D319" i="18"/>
  <c r="D751" i="18"/>
  <c r="D189" i="18" l="1"/>
  <c r="D356" i="18"/>
  <c r="D781" i="18"/>
  <c r="D669" i="18" l="1"/>
  <c r="D670" i="18"/>
  <c r="D667" i="18"/>
  <c r="O98" i="16" l="1"/>
  <c r="D425" i="18" l="1"/>
  <c r="O290" i="16" l="1"/>
  <c r="D799" i="18"/>
  <c r="D791" i="18" l="1"/>
  <c r="D782" i="18"/>
  <c r="D780" i="18"/>
  <c r="D354" i="18"/>
  <c r="D778" i="18"/>
  <c r="D381" i="18"/>
  <c r="D382" i="18"/>
  <c r="D479" i="18" l="1"/>
  <c r="D723" i="18" l="1"/>
  <c r="D28" i="18" l="1"/>
  <c r="D329" i="18" l="1"/>
  <c r="D756" i="18" l="1"/>
  <c r="D622" i="18" l="1"/>
  <c r="D133" i="18"/>
  <c r="D432" i="18"/>
  <c r="D275" i="18" l="1"/>
  <c r="D691" i="18" l="1"/>
  <c r="D695" i="18"/>
  <c r="D212" i="18"/>
  <c r="D398" i="18"/>
  <c r="D539" i="18"/>
  <c r="D538" i="18"/>
  <c r="D485" i="18" l="1"/>
  <c r="D484" i="18"/>
  <c r="D431" i="18"/>
  <c r="D430" i="18"/>
  <c r="D760" i="18"/>
  <c r="D328" i="18"/>
  <c r="D813" i="18" l="1"/>
  <c r="D814" i="18"/>
  <c r="D815" i="18"/>
  <c r="D817" i="18"/>
  <c r="D811" i="18" l="1"/>
  <c r="D808" i="18"/>
  <c r="D809" i="18"/>
  <c r="D810" i="18"/>
  <c r="D383" i="18"/>
  <c r="D384" i="18"/>
  <c r="D389" i="18"/>
  <c r="D385" i="18"/>
  <c r="D378" i="18"/>
  <c r="D351" i="18"/>
  <c r="D352" i="18"/>
  <c r="D344" i="18"/>
  <c r="P4" i="16" l="1"/>
  <c r="D139" i="18"/>
  <c r="D135" i="18"/>
  <c r="D129" i="18"/>
  <c r="D110" i="18"/>
  <c r="D776" i="18" l="1"/>
  <c r="D777" i="18"/>
  <c r="D779" i="18"/>
  <c r="D783" i="18"/>
  <c r="D784" i="18"/>
  <c r="D785" i="18"/>
  <c r="D789" i="18"/>
  <c r="D790" i="18"/>
  <c r="D793" i="18"/>
  <c r="D787" i="18"/>
  <c r="D794" i="18"/>
  <c r="D795" i="18"/>
  <c r="D796" i="18"/>
  <c r="D797" i="18"/>
  <c r="D798" i="18"/>
  <c r="D801" i="18"/>
  <c r="D800" i="18"/>
  <c r="D804" i="18"/>
  <c r="D806" i="18"/>
  <c r="D346" i="18"/>
  <c r="D347" i="18"/>
  <c r="D348" i="18"/>
  <c r="D350" i="18"/>
  <c r="D349" i="18"/>
  <c r="D353" i="18"/>
  <c r="D355" i="18"/>
  <c r="D357" i="18"/>
  <c r="D360" i="18"/>
  <c r="D361" i="18"/>
  <c r="D364" i="18"/>
  <c r="D365" i="18"/>
  <c r="D366" i="18"/>
  <c r="D368" i="18"/>
  <c r="D363" i="18"/>
  <c r="D369" i="18"/>
  <c r="D370" i="18"/>
  <c r="D373" i="18"/>
  <c r="D374" i="18"/>
  <c r="D376" i="18"/>
  <c r="D375" i="18"/>
  <c r="D377" i="18"/>
  <c r="D379" i="18"/>
  <c r="D380" i="18"/>
  <c r="D386" i="18"/>
  <c r="D387" i="18"/>
  <c r="D388" i="18"/>
  <c r="D345" i="18"/>
  <c r="D326" i="18" l="1"/>
  <c r="D243" i="18"/>
  <c r="D208" i="18"/>
  <c r="D480" i="18" l="1"/>
  <c r="D516" i="18" l="1"/>
  <c r="D495" i="18" l="1"/>
  <c r="P5" i="16" l="1"/>
  <c r="D452" i="18"/>
  <c r="D454" i="18"/>
  <c r="O22" i="16"/>
  <c r="O26" i="16"/>
  <c r="O76" i="16"/>
  <c r="O90" i="16"/>
  <c r="O102" i="16"/>
  <c r="O129" i="16"/>
  <c r="O133" i="16"/>
  <c r="D509" i="18" l="1"/>
  <c r="D508" i="18"/>
  <c r="D510" i="18"/>
  <c r="E2" i="8" l="1"/>
  <c r="D138" i="18" l="1"/>
  <c r="D137" i="18"/>
  <c r="D136" i="18"/>
  <c r="D132" i="18"/>
  <c r="D131" i="18"/>
  <c r="D130" i="18"/>
  <c r="D128" i="18"/>
  <c r="D125" i="18"/>
  <c r="D126" i="18"/>
  <c r="D117" i="18"/>
  <c r="D122" i="18"/>
  <c r="D120" i="18"/>
  <c r="D119" i="18"/>
  <c r="D118" i="18"/>
  <c r="D116" i="18"/>
  <c r="D115" i="18"/>
  <c r="D113" i="18"/>
  <c r="D112" i="18"/>
  <c r="D111" i="18"/>
  <c r="D283" i="18"/>
  <c r="D286" i="18"/>
  <c r="D287" i="18"/>
  <c r="D288" i="18"/>
  <c r="D289" i="18"/>
  <c r="D291" i="18"/>
  <c r="D290" i="18"/>
  <c r="D292" i="18"/>
  <c r="D293" i="18"/>
  <c r="D323" i="18"/>
  <c r="D296" i="18"/>
  <c r="D297" i="18"/>
  <c r="D299" i="18"/>
  <c r="D303" i="18"/>
  <c r="D304" i="18"/>
  <c r="D305" i="18"/>
  <c r="D307" i="18"/>
  <c r="D308" i="18"/>
  <c r="D310" i="18"/>
  <c r="D311" i="18"/>
  <c r="D306" i="18"/>
  <c r="D312" i="18"/>
  <c r="D314" i="18"/>
  <c r="D315" i="18"/>
  <c r="D316" i="18"/>
  <c r="D317" i="18"/>
  <c r="D321" i="18"/>
  <c r="D320" i="18"/>
  <c r="D322" i="18"/>
  <c r="D327" i="18"/>
  <c r="D330" i="18"/>
  <c r="D331" i="18"/>
  <c r="D342" i="18"/>
  <c r="D332" i="18"/>
  <c r="D333" i="18"/>
  <c r="D334" i="18"/>
  <c r="D335" i="18"/>
  <c r="D336" i="18"/>
  <c r="D337" i="18"/>
  <c r="D294" i="18"/>
  <c r="D271" i="18"/>
  <c r="D256" i="18"/>
  <c r="D257" i="18"/>
  <c r="D258" i="18"/>
  <c r="D259" i="18"/>
  <c r="D260" i="18"/>
  <c r="D261" i="18"/>
  <c r="D262" i="18"/>
  <c r="D263" i="18"/>
  <c r="D264" i="18"/>
  <c r="D265" i="18"/>
  <c r="D266" i="18"/>
  <c r="D267" i="18"/>
  <c r="D268" i="18"/>
  <c r="D269" i="18"/>
  <c r="D270" i="18"/>
  <c r="D272" i="18"/>
  <c r="D273" i="18"/>
  <c r="D274" i="18"/>
  <c r="D276" i="18"/>
  <c r="D277" i="18"/>
  <c r="D282" i="18"/>
  <c r="D278" i="18"/>
  <c r="D279" i="18"/>
  <c r="D280" i="18"/>
  <c r="D281" i="18"/>
  <c r="D242" i="18"/>
  <c r="D220" i="18"/>
  <c r="D221" i="18"/>
  <c r="D223" i="18"/>
  <c r="D226" i="18"/>
  <c r="D227" i="18"/>
  <c r="D228" i="18"/>
  <c r="D230" i="18"/>
  <c r="D231" i="18"/>
  <c r="D232" i="18"/>
  <c r="D233" i="18"/>
  <c r="D234" i="18"/>
  <c r="D229" i="18"/>
  <c r="D235" i="18"/>
  <c r="D237" i="18"/>
  <c r="D238" i="18"/>
  <c r="D240" i="18"/>
  <c r="D239" i="18"/>
  <c r="D241" i="18"/>
  <c r="D244" i="18"/>
  <c r="D246" i="18"/>
  <c r="D247" i="18"/>
  <c r="D255" i="18"/>
  <c r="D248" i="18"/>
  <c r="D249" i="18"/>
  <c r="D250" i="18"/>
  <c r="D251" i="18"/>
  <c r="D252" i="18"/>
  <c r="D207" i="18"/>
  <c r="D186" i="18"/>
  <c r="D187" i="18"/>
  <c r="D188" i="18"/>
  <c r="D190" i="18"/>
  <c r="D191" i="18"/>
  <c r="D192" i="18"/>
  <c r="D194" i="18"/>
  <c r="D195" i="18"/>
  <c r="D196" i="18"/>
  <c r="D197" i="18"/>
  <c r="D198" i="18"/>
  <c r="D193" i="18"/>
  <c r="D202" i="18"/>
  <c r="D203" i="18"/>
  <c r="D205" i="18"/>
  <c r="D204" i="18"/>
  <c r="D206" i="18"/>
  <c r="D209" i="18"/>
  <c r="D210" i="18"/>
  <c r="D211" i="18"/>
  <c r="D213" i="18"/>
  <c r="D214" i="18"/>
  <c r="D219" i="18"/>
  <c r="D215" i="18"/>
  <c r="D216" i="18"/>
  <c r="D217" i="18"/>
  <c r="D218" i="18"/>
  <c r="D140" i="18"/>
  <c r="D141" i="18"/>
  <c r="D142" i="18"/>
  <c r="D143" i="18"/>
  <c r="D144" i="18"/>
  <c r="D145" i="18"/>
  <c r="D148" i="18"/>
  <c r="D147" i="18"/>
  <c r="D171" i="18"/>
  <c r="D150" i="18"/>
  <c r="D151" i="18"/>
  <c r="D152" i="18"/>
  <c r="D154" i="18"/>
  <c r="D155" i="18"/>
  <c r="D156" i="18"/>
  <c r="D158" i="18"/>
  <c r="D159" i="18"/>
  <c r="D160" i="18"/>
  <c r="D161" i="18"/>
  <c r="D162" i="18"/>
  <c r="D157" i="18"/>
  <c r="D163" i="18"/>
  <c r="D164" i="18"/>
  <c r="D165" i="18"/>
  <c r="D166" i="18"/>
  <c r="D167" i="18"/>
  <c r="D169" i="18"/>
  <c r="D168" i="18"/>
  <c r="D170" i="18"/>
  <c r="D172" i="18"/>
  <c r="D173" i="18"/>
  <c r="D175" i="18"/>
  <c r="D176" i="18"/>
  <c r="D185" i="18"/>
  <c r="D177" i="18"/>
  <c r="D178" i="18"/>
  <c r="D179" i="18"/>
  <c r="D180" i="18"/>
  <c r="D181" i="18"/>
  <c r="D182" i="18"/>
  <c r="D183" i="18"/>
  <c r="D149" i="18"/>
  <c r="D97" i="18"/>
  <c r="D81" i="18"/>
  <c r="D82" i="18"/>
  <c r="D83" i="18"/>
  <c r="D84" i="18"/>
  <c r="D85" i="18"/>
  <c r="D86" i="18"/>
  <c r="D88" i="18"/>
  <c r="D89" i="18"/>
  <c r="D90" i="18"/>
  <c r="D91" i="18"/>
  <c r="D92" i="18"/>
  <c r="D87" i="18"/>
  <c r="D95" i="18"/>
  <c r="D94" i="18"/>
  <c r="D96" i="18"/>
  <c r="D98" i="18"/>
  <c r="D99" i="18"/>
  <c r="D100" i="18"/>
  <c r="D101" i="18"/>
  <c r="D107" i="18"/>
  <c r="D102" i="18"/>
  <c r="D103" i="18"/>
  <c r="D104" i="18"/>
  <c r="D105" i="18"/>
  <c r="D38" i="18"/>
  <c r="D39" i="18"/>
  <c r="D40" i="18"/>
  <c r="D41" i="18"/>
  <c r="D45" i="18"/>
  <c r="D44" i="18"/>
  <c r="D46" i="18"/>
  <c r="D47" i="18"/>
  <c r="D48" i="18"/>
  <c r="D49" i="18"/>
  <c r="D50" i="18"/>
  <c r="D51" i="18"/>
  <c r="D52" i="18"/>
  <c r="D53" i="18"/>
  <c r="D54" i="18"/>
  <c r="D55" i="18"/>
  <c r="D57" i="18"/>
  <c r="D58" i="18"/>
  <c r="D59" i="18"/>
  <c r="D60" i="18"/>
  <c r="D61" i="18"/>
  <c r="D62" i="18"/>
  <c r="D63" i="18"/>
  <c r="D64" i="18"/>
  <c r="D65" i="18"/>
  <c r="D66" i="18"/>
  <c r="D67" i="18"/>
  <c r="D69" i="18"/>
  <c r="D70" i="18"/>
  <c r="D71" i="18"/>
  <c r="D72" i="18"/>
  <c r="D73" i="18"/>
  <c r="D80" i="18"/>
  <c r="D74" i="18"/>
  <c r="D75" i="18"/>
  <c r="D76" i="18"/>
  <c r="D77" i="18"/>
  <c r="D78" i="18"/>
  <c r="D68" i="18"/>
  <c r="D24" i="18"/>
  <c r="D4" i="18"/>
  <c r="D5" i="18"/>
  <c r="D6" i="18"/>
  <c r="D7" i="18"/>
  <c r="D8" i="18"/>
  <c r="D9" i="18"/>
  <c r="D11" i="18"/>
  <c r="D12" i="18"/>
  <c r="D13" i="18"/>
  <c r="D14" i="18"/>
  <c r="D10" i="18"/>
  <c r="D15" i="18"/>
  <c r="D17" i="18"/>
  <c r="D18" i="18"/>
  <c r="D19" i="18"/>
  <c r="D20" i="18"/>
  <c r="D22" i="18"/>
  <c r="D21" i="18"/>
  <c r="D23" i="18"/>
  <c r="D25" i="18"/>
  <c r="D26" i="18"/>
  <c r="D27" i="18"/>
  <c r="D29" i="18"/>
  <c r="D30" i="18"/>
  <c r="D37" i="18"/>
  <c r="D31" i="18"/>
  <c r="D32" i="18"/>
  <c r="D33" i="18"/>
  <c r="D34" i="18"/>
  <c r="D35" i="18"/>
  <c r="D36" i="18"/>
  <c r="D422" i="18"/>
  <c r="D390" i="18"/>
  <c r="D391" i="18"/>
  <c r="D393" i="18"/>
  <c r="D395" i="18"/>
  <c r="D399" i="18"/>
  <c r="D402" i="18"/>
  <c r="D403" i="18"/>
  <c r="D407" i="18"/>
  <c r="D408" i="18"/>
  <c r="D410" i="18"/>
  <c r="D411" i="18"/>
  <c r="D405" i="18"/>
  <c r="D412" i="18"/>
  <c r="D415" i="18"/>
  <c r="D416" i="18"/>
  <c r="D417" i="18"/>
  <c r="D418" i="18"/>
  <c r="D420" i="18"/>
  <c r="D419" i="18"/>
  <c r="D427" i="18"/>
  <c r="D428" i="18"/>
  <c r="D429" i="18"/>
  <c r="D450" i="18"/>
  <c r="D447" i="18"/>
  <c r="D448" i="18"/>
  <c r="D449" i="18"/>
  <c r="D446" i="18"/>
  <c r="D434" i="18"/>
  <c r="D435" i="18"/>
  <c r="D437" i="18"/>
  <c r="D440" i="18"/>
  <c r="D441" i="18"/>
  <c r="D442" i="18"/>
  <c r="D443" i="18"/>
  <c r="D444" i="18"/>
  <c r="D445" i="18"/>
  <c r="D477" i="18"/>
  <c r="D451" i="18"/>
  <c r="D455" i="18"/>
  <c r="D458" i="18"/>
  <c r="D459" i="18"/>
  <c r="D462" i="18"/>
  <c r="D463" i="18"/>
  <c r="D466" i="18"/>
  <c r="D467" i="18"/>
  <c r="D460" i="18"/>
  <c r="D469" i="18"/>
  <c r="D470" i="18"/>
  <c r="D473" i="18"/>
  <c r="D820" i="18"/>
  <c r="D821" i="18"/>
  <c r="D729" i="18"/>
  <c r="D730" i="18"/>
  <c r="D732" i="18"/>
  <c r="D735" i="18"/>
  <c r="D737" i="18"/>
  <c r="D738" i="18"/>
  <c r="D742" i="18"/>
  <c r="D743" i="18"/>
  <c r="D744" i="18"/>
  <c r="D745" i="18"/>
  <c r="D740" i="18"/>
  <c r="D746" i="18"/>
  <c r="D747" i="18"/>
  <c r="D748" i="18"/>
  <c r="D749" i="18"/>
  <c r="D750" i="18"/>
  <c r="D753" i="18"/>
  <c r="D752" i="18"/>
  <c r="D757" i="18"/>
  <c r="D758" i="18"/>
  <c r="D759" i="18"/>
  <c r="D764" i="18"/>
  <c r="D761" i="18"/>
  <c r="D762" i="18"/>
  <c r="D763" i="18"/>
  <c r="D754" i="18"/>
  <c r="BZ5" i="8"/>
  <c r="BE3" i="8"/>
  <c r="D824" i="18"/>
  <c r="D812" i="18"/>
  <c r="D728" i="18"/>
  <c r="D700" i="18"/>
  <c r="D696" i="18"/>
  <c r="D665" i="18"/>
  <c r="D664" i="18"/>
  <c r="D635" i="18"/>
  <c r="D618" i="18"/>
  <c r="D597" i="18"/>
  <c r="D586" i="18"/>
  <c r="D577" i="18"/>
  <c r="D567" i="18"/>
  <c r="D550" i="18"/>
  <c r="D543" i="18"/>
  <c r="D511" i="18"/>
  <c r="D507" i="18"/>
  <c r="D823" i="18"/>
  <c r="D604" i="18"/>
  <c r="D608" i="18"/>
  <c r="D609" i="18"/>
  <c r="D611" i="18"/>
  <c r="D591" i="18"/>
  <c r="D592" i="18"/>
  <c r="D593" i="18"/>
  <c r="D582" i="18"/>
  <c r="D583" i="18"/>
  <c r="D571" i="18"/>
  <c r="D572" i="18"/>
  <c r="D573" i="18"/>
  <c r="D562" i="18"/>
  <c r="D563" i="18"/>
  <c r="D564" i="18"/>
  <c r="D554" i="18"/>
  <c r="D555" i="18"/>
  <c r="D499" i="18"/>
  <c r="D501" i="18"/>
  <c r="D503" i="18"/>
  <c r="D504" i="18"/>
  <c r="D708" i="18"/>
  <c r="D711" i="18"/>
  <c r="D712" i="18"/>
  <c r="D713" i="18"/>
  <c r="D673" i="18"/>
  <c r="D677" i="18"/>
  <c r="D678" i="18"/>
  <c r="D679" i="18"/>
  <c r="D680" i="18"/>
  <c r="D643" i="18"/>
  <c r="D646" i="18"/>
  <c r="D647" i="18"/>
  <c r="D648" i="18"/>
  <c r="D519" i="18"/>
  <c r="D522" i="18"/>
  <c r="D523" i="18"/>
  <c r="D525" i="18"/>
  <c r="D526" i="18"/>
  <c r="D816" i="18"/>
  <c r="D819" i="18"/>
  <c r="D822" i="18"/>
  <c r="D825" i="18"/>
  <c r="D818" i="18"/>
  <c r="D701" i="18"/>
  <c r="D703" i="18"/>
  <c r="D706" i="18"/>
  <c r="D707" i="18"/>
  <c r="D709" i="18"/>
  <c r="D714" i="18"/>
  <c r="D715" i="18"/>
  <c r="D716" i="18"/>
  <c r="D718" i="18"/>
  <c r="D717" i="18"/>
  <c r="D721" i="18"/>
  <c r="D722" i="18"/>
  <c r="D725" i="18"/>
  <c r="D726" i="18"/>
  <c r="D727" i="18"/>
  <c r="D719" i="18"/>
  <c r="D666" i="18"/>
  <c r="D668" i="18"/>
  <c r="D671" i="18"/>
  <c r="D672" i="18"/>
  <c r="D675" i="18"/>
  <c r="D685" i="18"/>
  <c r="D686" i="18"/>
  <c r="D688" i="18"/>
  <c r="D687" i="18"/>
  <c r="D692" i="18"/>
  <c r="D693" i="18"/>
  <c r="D694" i="18"/>
  <c r="D697" i="18"/>
  <c r="D698" i="18"/>
  <c r="D699" i="18"/>
  <c r="D689" i="18"/>
  <c r="D636" i="18"/>
  <c r="D638" i="18"/>
  <c r="D641" i="18"/>
  <c r="D642" i="18"/>
  <c r="D644" i="18"/>
  <c r="D649" i="18"/>
  <c r="D650" i="18"/>
  <c r="D651" i="18"/>
  <c r="D652" i="18"/>
  <c r="D653" i="18"/>
  <c r="D655" i="18"/>
  <c r="D654" i="18"/>
  <c r="D658" i="18"/>
  <c r="D659" i="18"/>
  <c r="D661" i="18"/>
  <c r="D662" i="18"/>
  <c r="D663" i="18"/>
  <c r="D656" i="18"/>
  <c r="D551" i="18"/>
  <c r="D552" i="18"/>
  <c r="D553" i="18"/>
  <c r="D559" i="18"/>
  <c r="D560" i="18"/>
  <c r="D561" i="18"/>
  <c r="D568" i="18"/>
  <c r="D569" i="18"/>
  <c r="D570" i="18"/>
  <c r="D574" i="18"/>
  <c r="D578" i="18"/>
  <c r="D579" i="18"/>
  <c r="D580" i="18"/>
  <c r="D581" i="18"/>
  <c r="D587" i="18"/>
  <c r="D588" i="18"/>
  <c r="D589" i="18"/>
  <c r="D590" i="18"/>
  <c r="D598" i="18"/>
  <c r="D599" i="18"/>
  <c r="D601" i="18"/>
  <c r="D602" i="18"/>
  <c r="D603" i="18"/>
  <c r="D619" i="18"/>
  <c r="D620" i="18"/>
  <c r="D621" i="18"/>
  <c r="D558" i="18"/>
  <c r="D512" i="18"/>
  <c r="D514" i="18"/>
  <c r="D517" i="18"/>
  <c r="D518" i="18"/>
  <c r="D520" i="18"/>
  <c r="D532" i="18"/>
  <c r="D531" i="18"/>
  <c r="D535" i="18"/>
  <c r="D536" i="18"/>
  <c r="D537" i="18"/>
  <c r="D540" i="18"/>
  <c r="D541" i="18"/>
  <c r="D542" i="18"/>
  <c r="D533" i="18"/>
  <c r="D474" i="18"/>
  <c r="D476" i="18"/>
  <c r="D475" i="18"/>
  <c r="D481" i="18"/>
  <c r="D482" i="18"/>
  <c r="D483" i="18"/>
  <c r="D488" i="18"/>
  <c r="D489" i="18"/>
  <c r="D491" i="18"/>
  <c r="D496" i="18"/>
  <c r="D498" i="18"/>
  <c r="D505" i="18"/>
  <c r="D506" i="18"/>
  <c r="O1" i="16"/>
  <c r="AR7" i="8"/>
  <c r="AK7" i="8"/>
  <c r="V7" i="8"/>
  <c r="P7" i="8"/>
  <c r="T7" i="8"/>
  <c r="N7" i="8"/>
  <c r="E6" i="8"/>
  <c r="A292" i="16" l="1" a="1"/>
  <c r="A292" i="16" s="1"/>
  <c r="B292" i="16" a="1"/>
  <c r="B292" i="16" s="1"/>
  <c r="A295" i="16" a="1"/>
  <c r="A295" i="16" s="1"/>
  <c r="B295" i="16" a="1"/>
  <c r="B295" i="16" s="1"/>
  <c r="A298" i="16" a="1"/>
  <c r="A299" i="16" s="1"/>
  <c r="B298" i="16" a="1"/>
  <c r="B298" i="16" s="1"/>
  <c r="B185" i="16" a="1"/>
  <c r="A185" i="16" a="1"/>
  <c r="B7" i="16" a="1"/>
  <c r="A7" i="16" a="1"/>
  <c r="J19" i="97" a="1"/>
  <c r="J19" i="97" s="1"/>
  <c r="J9" i="97" a="1"/>
  <c r="C19" i="19" a="1"/>
  <c r="B19" i="19" a="1"/>
  <c r="A19" i="19" a="1"/>
  <c r="D19" i="19" a="1"/>
  <c r="A20" i="16" a="1"/>
  <c r="A20" i="16" s="1"/>
  <c r="K9" i="97" a="1"/>
  <c r="J29" i="97" a="1"/>
  <c r="B280" i="16" a="1"/>
  <c r="B280" i="16" s="1"/>
  <c r="J24" i="97" a="1"/>
  <c r="A280" i="16" a="1"/>
  <c r="A280" i="16" s="1"/>
  <c r="B57" i="16" a="1"/>
  <c r="A57" i="16" a="1"/>
  <c r="A45" i="16" a="1"/>
  <c r="B45" i="16" a="1"/>
  <c r="B55" i="16"/>
  <c r="A87" i="16" a="1"/>
  <c r="A87" i="16" s="1"/>
  <c r="B87" i="16" a="1"/>
  <c r="B87" i="16" s="1"/>
  <c r="B283" i="16" a="1"/>
  <c r="B286" i="16" a="1"/>
  <c r="B160" i="16" a="1"/>
  <c r="A160" i="16" a="1"/>
  <c r="A283" i="16" a="1"/>
  <c r="A286" i="16" a="1"/>
  <c r="B158" i="16" a="1"/>
  <c r="A158" i="16" a="1"/>
  <c r="B156" i="16" a="1"/>
  <c r="A156" i="16" a="1"/>
  <c r="B173" i="16" a="1"/>
  <c r="A173" i="16" a="1"/>
  <c r="B171" i="16" a="1"/>
  <c r="A171" i="16" a="1"/>
  <c r="B169" i="16" a="1"/>
  <c r="A169" i="16" a="1"/>
  <c r="A166" i="16" a="1"/>
  <c r="A167" i="16" s="1"/>
  <c r="B166" i="16" a="1"/>
  <c r="B270" i="16" a="1"/>
  <c r="A270" i="16" a="1"/>
  <c r="B266" i="16" a="1"/>
  <c r="A266" i="16" a="1"/>
  <c r="B257" i="16" a="1"/>
  <c r="A257" i="16" a="1"/>
  <c r="B253" i="16" a="1"/>
  <c r="A253" i="16" a="1"/>
  <c r="B249" i="16" a="1"/>
  <c r="A249" i="16" a="1"/>
  <c r="B242" i="16" a="1"/>
  <c r="A242" i="16" a="1"/>
  <c r="B238" i="16" a="1"/>
  <c r="A238" i="16" a="1"/>
  <c r="B234" i="16" a="1"/>
  <c r="A234" i="16" a="1"/>
  <c r="B221" i="16" a="1"/>
  <c r="A221" i="16" a="1"/>
  <c r="B218" i="16" a="1"/>
  <c r="A218" i="16" a="1"/>
  <c r="B215" i="16" a="1"/>
  <c r="A215" i="16" a="1"/>
  <c r="B204" i="16" a="1"/>
  <c r="A204" i="16" a="1"/>
  <c r="B194" i="16" a="1"/>
  <c r="A194" i="16" a="1"/>
  <c r="B192" i="16" a="1"/>
  <c r="A192" i="16" a="1"/>
  <c r="A190" i="16" a="1"/>
  <c r="B190" i="16" a="1"/>
  <c r="B187" i="16" a="1"/>
  <c r="A187" i="16" a="1"/>
  <c r="B176" i="16" a="1"/>
  <c r="B176" i="16" s="1"/>
  <c r="B179" i="16" a="1"/>
  <c r="A179" i="16" a="1"/>
  <c r="A176" i="16" a="1"/>
  <c r="A176" i="16" s="1"/>
  <c r="A146" i="16"/>
  <c r="B144" i="16" a="1"/>
  <c r="A144" i="16" a="1"/>
  <c r="B142" i="16" a="1"/>
  <c r="A142" i="16" a="1"/>
  <c r="B139" i="16" a="1"/>
  <c r="A139" i="16" a="1"/>
  <c r="B96" i="16" a="1"/>
  <c r="A96" i="16" a="1"/>
  <c r="B94" i="16" a="1"/>
  <c r="A94" i="16" a="1"/>
  <c r="A67" i="16" a="1"/>
  <c r="B67" i="16" a="1"/>
  <c r="A55" i="16" a="1"/>
  <c r="A55" i="16" s="1"/>
  <c r="B20" i="16" a="1"/>
  <c r="B20" i="16" s="1"/>
  <c r="B23" i="16" a="1"/>
  <c r="B27" i="16" a="1"/>
  <c r="B38" i="16" a="1"/>
  <c r="B38" i="16" s="1"/>
  <c r="A23" i="16" a="1"/>
  <c r="A27" i="16" a="1"/>
  <c r="A38" i="16" a="1"/>
  <c r="A38" i="16" s="1"/>
  <c r="B39" i="16" a="1"/>
  <c r="B39" i="16" s="1"/>
  <c r="A39" i="16" a="1"/>
  <c r="A39" i="16" s="1"/>
  <c r="F299" i="16"/>
  <c r="I70" i="96" a="1"/>
  <c r="I58" i="96" a="1"/>
  <c r="C58" i="96" a="1"/>
  <c r="C58" i="96" s="1"/>
  <c r="G58" i="96" a="1"/>
  <c r="G58" i="96" s="1"/>
  <c r="A70" i="96" a="1"/>
  <c r="C43" i="96" a="1"/>
  <c r="E43" i="96" a="1"/>
  <c r="F58" i="96" a="1"/>
  <c r="A58" i="96" a="1"/>
  <c r="O53" i="8"/>
  <c r="BV54" i="8"/>
  <c r="O54" i="8"/>
  <c r="BV53" i="8"/>
  <c r="A54" i="8"/>
  <c r="A53" i="8"/>
  <c r="A281" i="16" a="1"/>
  <c r="A281" i="16" s="1"/>
  <c r="B281" i="16" a="1"/>
  <c r="B281" i="16" s="1"/>
  <c r="B125" i="16" a="1"/>
  <c r="B125" i="16" s="1"/>
  <c r="A125" i="16" a="1"/>
  <c r="A125" i="16" s="1"/>
  <c r="B146" i="16" a="1"/>
  <c r="B146" i="16" s="1"/>
  <c r="A138" i="16" a="1"/>
  <c r="A138" i="16" s="1"/>
  <c r="B138" i="16" a="1"/>
  <c r="B138" i="16" s="1"/>
  <c r="B134" i="16" a="1"/>
  <c r="A134" i="16" a="1"/>
  <c r="A130" i="16" a="1"/>
  <c r="B130" i="16" a="1"/>
  <c r="B103" i="16" a="1"/>
  <c r="A103" i="16" a="1"/>
  <c r="B91" i="16" a="1"/>
  <c r="A91" i="16" a="1"/>
  <c r="B77" i="16" a="1"/>
  <c r="A77" i="16" a="1"/>
  <c r="A41" i="16" a="1"/>
  <c r="B127" i="16" a="1"/>
  <c r="B127" i="16" s="1"/>
  <c r="A127" i="16" a="1"/>
  <c r="A127" i="16" s="1"/>
  <c r="A114" i="16" a="1"/>
  <c r="A115" i="16" s="1"/>
  <c r="B114" i="16" a="1"/>
  <c r="B114" i="16" s="1"/>
  <c r="B99" i="16" a="1"/>
  <c r="A99" i="16" a="1"/>
  <c r="A298" i="16" l="1"/>
  <c r="B299" i="16"/>
  <c r="A185" i="16"/>
  <c r="A186" i="16"/>
  <c r="B185" i="16"/>
  <c r="B186" i="16"/>
  <c r="A9" i="16"/>
  <c r="A13" i="16"/>
  <c r="A12" i="16"/>
  <c r="A11" i="16"/>
  <c r="A16" i="16"/>
  <c r="A18" i="16"/>
  <c r="A8" i="16"/>
  <c r="A10" i="16"/>
  <c r="A15" i="16"/>
  <c r="A17" i="16"/>
  <c r="A7" i="16"/>
  <c r="A14" i="16"/>
  <c r="B8" i="16"/>
  <c r="B7" i="16"/>
  <c r="B17" i="16"/>
  <c r="B15" i="16"/>
  <c r="B9" i="16"/>
  <c r="B14" i="16"/>
  <c r="B16" i="16"/>
  <c r="B13" i="16"/>
  <c r="B12" i="16"/>
  <c r="B11" i="16"/>
  <c r="B18" i="16"/>
  <c r="B10" i="16"/>
  <c r="J20" i="97"/>
  <c r="J21" i="97"/>
  <c r="J9" i="97"/>
  <c r="J11" i="97"/>
  <c r="J10" i="97"/>
  <c r="D19" i="19"/>
  <c r="D34" i="19"/>
  <c r="D25" i="19"/>
  <c r="D45" i="19"/>
  <c r="D63" i="19"/>
  <c r="D53" i="19"/>
  <c r="D20" i="19"/>
  <c r="D58" i="19"/>
  <c r="D64" i="19"/>
  <c r="D29" i="19"/>
  <c r="D31" i="19"/>
  <c r="D37" i="19"/>
  <c r="D67" i="19"/>
  <c r="D41" i="19"/>
  <c r="D40" i="19"/>
  <c r="D21" i="19"/>
  <c r="D62" i="19"/>
  <c r="D68" i="19"/>
  <c r="D59" i="19"/>
  <c r="D56" i="19"/>
  <c r="D55" i="19"/>
  <c r="D66" i="19"/>
  <c r="D54" i="19"/>
  <c r="D60" i="19"/>
  <c r="D51" i="19"/>
  <c r="D30" i="19"/>
  <c r="D47" i="19"/>
  <c r="D57" i="19"/>
  <c r="D46" i="19"/>
  <c r="D52" i="19"/>
  <c r="D43" i="19"/>
  <c r="D42" i="19"/>
  <c r="D50" i="19"/>
  <c r="D39" i="19"/>
  <c r="D33" i="19"/>
  <c r="D38" i="19"/>
  <c r="D44" i="19"/>
  <c r="D35" i="19"/>
  <c r="D65" i="19"/>
  <c r="D26" i="19"/>
  <c r="D23" i="19"/>
  <c r="D48" i="19"/>
  <c r="D22" i="19"/>
  <c r="D36" i="19"/>
  <c r="D27" i="19"/>
  <c r="D24" i="19"/>
  <c r="D49" i="19"/>
  <c r="D69" i="19"/>
  <c r="D32" i="19"/>
  <c r="D61" i="19"/>
  <c r="D28" i="19"/>
  <c r="A19" i="19"/>
  <c r="A52" i="19"/>
  <c r="A65" i="19"/>
  <c r="A48" i="19"/>
  <c r="A31" i="19"/>
  <c r="A20" i="19"/>
  <c r="A59" i="19"/>
  <c r="A36" i="19"/>
  <c r="A57" i="19"/>
  <c r="A40" i="19"/>
  <c r="A23" i="19"/>
  <c r="A69" i="19"/>
  <c r="A51" i="19"/>
  <c r="A66" i="19"/>
  <c r="A49" i="19"/>
  <c r="A32" i="19"/>
  <c r="A62" i="19"/>
  <c r="A53" i="19"/>
  <c r="A43" i="19"/>
  <c r="A61" i="19"/>
  <c r="A50" i="19"/>
  <c r="A33" i="19"/>
  <c r="A63" i="19"/>
  <c r="A46" i="19"/>
  <c r="A60" i="19"/>
  <c r="A27" i="19"/>
  <c r="A45" i="19"/>
  <c r="A42" i="19"/>
  <c r="A25" i="19"/>
  <c r="A55" i="19"/>
  <c r="A38" i="19"/>
  <c r="A44" i="19"/>
  <c r="A29" i="19"/>
  <c r="A34" i="19"/>
  <c r="A64" i="19"/>
  <c r="A47" i="19"/>
  <c r="A30" i="19"/>
  <c r="A28" i="19"/>
  <c r="A58" i="19"/>
  <c r="A37" i="19"/>
  <c r="A26" i="19"/>
  <c r="A67" i="19"/>
  <c r="A41" i="19"/>
  <c r="A35" i="19"/>
  <c r="A56" i="19"/>
  <c r="A24" i="19"/>
  <c r="A21" i="19"/>
  <c r="A68" i="19"/>
  <c r="A39" i="19"/>
  <c r="A54" i="19"/>
  <c r="A22" i="19"/>
  <c r="B19" i="19"/>
  <c r="B25" i="19"/>
  <c r="B50" i="19"/>
  <c r="B62" i="19"/>
  <c r="B37" i="19"/>
  <c r="B28" i="19"/>
  <c r="B43" i="19"/>
  <c r="B66" i="19"/>
  <c r="B64" i="19"/>
  <c r="B57" i="19"/>
  <c r="B46" i="19"/>
  <c r="B29" i="19"/>
  <c r="B20" i="19"/>
  <c r="B35" i="19"/>
  <c r="B49" i="19"/>
  <c r="B32" i="19"/>
  <c r="B48" i="19"/>
  <c r="B38" i="19"/>
  <c r="B21" i="19"/>
  <c r="B58" i="19"/>
  <c r="B27" i="19"/>
  <c r="B26" i="19"/>
  <c r="B34" i="19"/>
  <c r="B55" i="19"/>
  <c r="B22" i="19"/>
  <c r="B60" i="19"/>
  <c r="B56" i="19"/>
  <c r="B31" i="19"/>
  <c r="B33" i="19"/>
  <c r="B47" i="19"/>
  <c r="B69" i="19"/>
  <c r="B52" i="19"/>
  <c r="B67" i="19"/>
  <c r="B42" i="19"/>
  <c r="B40" i="19"/>
  <c r="B39" i="19"/>
  <c r="B61" i="19"/>
  <c r="B44" i="19"/>
  <c r="B59" i="19"/>
  <c r="B30" i="19"/>
  <c r="B45" i="19"/>
  <c r="B24" i="19"/>
  <c r="B68" i="19"/>
  <c r="B65" i="19"/>
  <c r="B36" i="19"/>
  <c r="B41" i="19"/>
  <c r="B51" i="19"/>
  <c r="B54" i="19"/>
  <c r="B53" i="19"/>
  <c r="B63" i="19"/>
  <c r="B23" i="19"/>
  <c r="C19" i="19"/>
  <c r="C34" i="19"/>
  <c r="C48" i="19"/>
  <c r="C40" i="19"/>
  <c r="C62" i="19"/>
  <c r="C45" i="19"/>
  <c r="C36" i="19"/>
  <c r="C27" i="19"/>
  <c r="C26" i="19"/>
  <c r="C58" i="19"/>
  <c r="C24" i="19"/>
  <c r="C46" i="19"/>
  <c r="C37" i="19"/>
  <c r="C28" i="19"/>
  <c r="C65" i="19"/>
  <c r="C64" i="19"/>
  <c r="C63" i="19"/>
  <c r="C38" i="19"/>
  <c r="C29" i="19"/>
  <c r="C20" i="19"/>
  <c r="C57" i="19"/>
  <c r="C32" i="19"/>
  <c r="C55" i="19"/>
  <c r="C30" i="19"/>
  <c r="C49" i="19"/>
  <c r="C54" i="19"/>
  <c r="C47" i="19"/>
  <c r="C22" i="19"/>
  <c r="C68" i="19"/>
  <c r="C59" i="19"/>
  <c r="C41" i="19"/>
  <c r="C66" i="19"/>
  <c r="C39" i="19"/>
  <c r="C69" i="19"/>
  <c r="C60" i="19"/>
  <c r="C51" i="19"/>
  <c r="C33" i="19"/>
  <c r="C42" i="19"/>
  <c r="C31" i="19"/>
  <c r="C61" i="19"/>
  <c r="C52" i="19"/>
  <c r="C43" i="19"/>
  <c r="C50" i="19"/>
  <c r="C25" i="19"/>
  <c r="C56" i="19"/>
  <c r="C23" i="19"/>
  <c r="C67" i="19"/>
  <c r="C35" i="19"/>
  <c r="C53" i="19"/>
  <c r="C21" i="19"/>
  <c r="C44" i="19"/>
  <c r="A166" i="16"/>
  <c r="A88" i="16"/>
  <c r="K15" i="97"/>
  <c r="K12" i="97"/>
  <c r="K28" i="97"/>
  <c r="K25" i="97"/>
  <c r="K22" i="97"/>
  <c r="K11" i="97"/>
  <c r="K27" i="97"/>
  <c r="K24" i="97"/>
  <c r="K21" i="97"/>
  <c r="K18" i="97"/>
  <c r="K23" i="97"/>
  <c r="K20" i="97"/>
  <c r="K17" i="97"/>
  <c r="K14" i="97"/>
  <c r="K9" i="97"/>
  <c r="K19" i="97"/>
  <c r="K16" i="97"/>
  <c r="K13" i="97"/>
  <c r="K10" i="97"/>
  <c r="K26" i="97"/>
  <c r="J24" i="97"/>
  <c r="J25" i="97"/>
  <c r="J26" i="97"/>
  <c r="J29" i="97"/>
  <c r="J30" i="97"/>
  <c r="J31" i="97"/>
  <c r="B45" i="16"/>
  <c r="B52" i="16"/>
  <c r="B48" i="16"/>
  <c r="B53" i="16"/>
  <c r="B49" i="16"/>
  <c r="B54" i="16"/>
  <c r="B50" i="16"/>
  <c r="B46" i="16"/>
  <c r="B51" i="16"/>
  <c r="B47" i="16"/>
  <c r="A57" i="16"/>
  <c r="A60" i="16"/>
  <c r="A59" i="16"/>
  <c r="A58" i="16"/>
  <c r="A45" i="16"/>
  <c r="A52" i="16"/>
  <c r="A48" i="16"/>
  <c r="A53" i="16"/>
  <c r="A49" i="16"/>
  <c r="A54" i="16"/>
  <c r="A50" i="16"/>
  <c r="A46" i="16"/>
  <c r="A51" i="16"/>
  <c r="A47" i="16"/>
  <c r="B57" i="16"/>
  <c r="B60" i="16"/>
  <c r="B59" i="16"/>
  <c r="B58" i="16"/>
  <c r="A89" i="16"/>
  <c r="B89" i="16"/>
  <c r="B88" i="16"/>
  <c r="A286" i="16"/>
  <c r="A287" i="16"/>
  <c r="A289" i="16"/>
  <c r="A288" i="16"/>
  <c r="A160" i="16"/>
  <c r="A161" i="16"/>
  <c r="B286" i="16"/>
  <c r="B289" i="16"/>
  <c r="B288" i="16"/>
  <c r="B287" i="16"/>
  <c r="A283" i="16"/>
  <c r="A284" i="16"/>
  <c r="A285" i="16"/>
  <c r="B160" i="16"/>
  <c r="B161" i="16"/>
  <c r="B283" i="16"/>
  <c r="B284" i="16"/>
  <c r="B285" i="16"/>
  <c r="A158" i="16"/>
  <c r="A159" i="16"/>
  <c r="B158" i="16"/>
  <c r="B159" i="16"/>
  <c r="A156" i="16"/>
  <c r="A157" i="16"/>
  <c r="B156" i="16"/>
  <c r="B157" i="16"/>
  <c r="A168" i="16"/>
  <c r="A173" i="16"/>
  <c r="A174" i="16"/>
  <c r="B173" i="16"/>
  <c r="B174" i="16"/>
  <c r="A171" i="16"/>
  <c r="A172" i="16"/>
  <c r="B171" i="16"/>
  <c r="B172" i="16"/>
  <c r="A169" i="16"/>
  <c r="A170" i="16"/>
  <c r="B169" i="16"/>
  <c r="B170" i="16"/>
  <c r="B166" i="16"/>
  <c r="B167" i="16"/>
  <c r="B168" i="16"/>
  <c r="A270" i="16"/>
  <c r="A273" i="16"/>
  <c r="A274" i="16"/>
  <c r="A275" i="16"/>
  <c r="A271" i="16"/>
  <c r="A272" i="16"/>
  <c r="B270" i="16"/>
  <c r="B275" i="16"/>
  <c r="B271" i="16"/>
  <c r="B272" i="16"/>
  <c r="B273" i="16"/>
  <c r="B274" i="16"/>
  <c r="A266" i="16"/>
  <c r="A267" i="16"/>
  <c r="A269" i="16"/>
  <c r="A268" i="16"/>
  <c r="B266" i="16"/>
  <c r="B269" i="16"/>
  <c r="B268" i="16"/>
  <c r="B267" i="16"/>
  <c r="A265" i="16"/>
  <c r="A257" i="16"/>
  <c r="A260" i="16"/>
  <c r="A264" i="16"/>
  <c r="A261" i="16"/>
  <c r="A258" i="16"/>
  <c r="A262" i="16"/>
  <c r="A259" i="16"/>
  <c r="A263" i="16"/>
  <c r="B257" i="16"/>
  <c r="B264" i="16"/>
  <c r="B260" i="16"/>
  <c r="B265" i="16"/>
  <c r="B261" i="16"/>
  <c r="B262" i="16"/>
  <c r="B258" i="16"/>
  <c r="B263" i="16"/>
  <c r="B259" i="16"/>
  <c r="A253" i="16"/>
  <c r="A254" i="16"/>
  <c r="A256" i="16"/>
  <c r="A255" i="16"/>
  <c r="B253" i="16"/>
  <c r="B256" i="16"/>
  <c r="B255" i="16"/>
  <c r="B254" i="16"/>
  <c r="A249" i="16"/>
  <c r="A250" i="16"/>
  <c r="A252" i="16"/>
  <c r="A251" i="16"/>
  <c r="B249" i="16"/>
  <c r="B252" i="16"/>
  <c r="B251" i="16"/>
  <c r="B250" i="16"/>
  <c r="A242" i="16"/>
  <c r="A247" i="16"/>
  <c r="A243" i="16"/>
  <c r="A246" i="16"/>
  <c r="A245" i="16"/>
  <c r="A248" i="16"/>
  <c r="A244" i="16"/>
  <c r="B242" i="16"/>
  <c r="B247" i="16"/>
  <c r="B243" i="16"/>
  <c r="B246" i="16"/>
  <c r="B245" i="16"/>
  <c r="B248" i="16"/>
  <c r="B244" i="16"/>
  <c r="A238" i="16"/>
  <c r="A239" i="16"/>
  <c r="A241" i="16"/>
  <c r="A240" i="16"/>
  <c r="B238" i="16"/>
  <c r="B241" i="16"/>
  <c r="B240" i="16"/>
  <c r="B239" i="16"/>
  <c r="A234" i="16"/>
  <c r="A235" i="16"/>
  <c r="A237" i="16"/>
  <c r="A236" i="16"/>
  <c r="B235" i="16"/>
  <c r="B236" i="16"/>
  <c r="B237" i="16"/>
  <c r="B234" i="16"/>
  <c r="A221" i="16"/>
  <c r="A232" i="16"/>
  <c r="A228" i="16"/>
  <c r="A224" i="16"/>
  <c r="A233" i="16"/>
  <c r="A229" i="16"/>
  <c r="A225" i="16"/>
  <c r="A230" i="16"/>
  <c r="A226" i="16"/>
  <c r="A222" i="16"/>
  <c r="A231" i="16"/>
  <c r="A227" i="16"/>
  <c r="A223" i="16"/>
  <c r="B221" i="16"/>
  <c r="B232" i="16"/>
  <c r="B228" i="16"/>
  <c r="B224" i="16"/>
  <c r="B233" i="16"/>
  <c r="B229" i="16"/>
  <c r="B225" i="16"/>
  <c r="B230" i="16"/>
  <c r="B226" i="16"/>
  <c r="B222" i="16"/>
  <c r="B231" i="16"/>
  <c r="B227" i="16"/>
  <c r="B223" i="16"/>
  <c r="A218" i="16"/>
  <c r="A220" i="16"/>
  <c r="A219" i="16"/>
  <c r="B218" i="16"/>
  <c r="B220" i="16"/>
  <c r="B219" i="16"/>
  <c r="A215" i="16"/>
  <c r="A216" i="16"/>
  <c r="A217" i="16"/>
  <c r="B215" i="16"/>
  <c r="B216" i="16"/>
  <c r="B217" i="16"/>
  <c r="A205" i="16"/>
  <c r="A214" i="16"/>
  <c r="A210" i="16"/>
  <c r="A206" i="16"/>
  <c r="A213" i="16"/>
  <c r="A209" i="16"/>
  <c r="A212" i="16"/>
  <c r="A208" i="16"/>
  <c r="A204" i="16"/>
  <c r="A211" i="16"/>
  <c r="A207" i="16"/>
  <c r="B204" i="16"/>
  <c r="B213" i="16"/>
  <c r="B209" i="16"/>
  <c r="B205" i="16"/>
  <c r="B212" i="16"/>
  <c r="B208" i="16"/>
  <c r="B211" i="16"/>
  <c r="B207" i="16"/>
  <c r="B214" i="16"/>
  <c r="B210" i="16"/>
  <c r="B206" i="16"/>
  <c r="A194" i="16"/>
  <c r="A201" i="16"/>
  <c r="A197" i="16"/>
  <c r="A202" i="16"/>
  <c r="A198" i="16"/>
  <c r="A203" i="16"/>
  <c r="A199" i="16"/>
  <c r="A195" i="16"/>
  <c r="A200" i="16"/>
  <c r="A196" i="16"/>
  <c r="B194" i="16"/>
  <c r="B203" i="16"/>
  <c r="B199" i="16"/>
  <c r="B195" i="16"/>
  <c r="B200" i="16"/>
  <c r="B196" i="16"/>
  <c r="B201" i="16"/>
  <c r="B197" i="16"/>
  <c r="B202" i="16"/>
  <c r="B198" i="16"/>
  <c r="A192" i="16"/>
  <c r="A193" i="16"/>
  <c r="B192" i="16"/>
  <c r="B193" i="16"/>
  <c r="B177" i="16"/>
  <c r="B190" i="16"/>
  <c r="B191" i="16"/>
  <c r="A190" i="16"/>
  <c r="A191" i="16"/>
  <c r="A178" i="16"/>
  <c r="B178" i="16"/>
  <c r="A187" i="16"/>
  <c r="A188" i="16"/>
  <c r="A189" i="16"/>
  <c r="B187" i="16"/>
  <c r="B188" i="16"/>
  <c r="B189" i="16"/>
  <c r="A177" i="16"/>
  <c r="B179" i="16"/>
  <c r="B184" i="16"/>
  <c r="B180" i="16"/>
  <c r="B181" i="16"/>
  <c r="B182" i="16"/>
  <c r="B183" i="16"/>
  <c r="A179" i="16"/>
  <c r="A182" i="16"/>
  <c r="A183" i="16"/>
  <c r="A184" i="16"/>
  <c r="A180" i="16"/>
  <c r="A181" i="16"/>
  <c r="A144" i="16"/>
  <c r="A145" i="16"/>
  <c r="B144" i="16"/>
  <c r="B145" i="16"/>
  <c r="A142" i="16"/>
  <c r="A143" i="16"/>
  <c r="B142" i="16"/>
  <c r="B143" i="16"/>
  <c r="A139" i="16"/>
  <c r="A141" i="16"/>
  <c r="A140" i="16"/>
  <c r="B140" i="16"/>
  <c r="B141" i="16"/>
  <c r="B139" i="16"/>
  <c r="A96" i="16"/>
  <c r="A97" i="16"/>
  <c r="B96" i="16"/>
  <c r="B97" i="16"/>
  <c r="A94" i="16"/>
  <c r="A95" i="16"/>
  <c r="B94" i="16"/>
  <c r="B95" i="16"/>
  <c r="B67" i="16"/>
  <c r="B72" i="16"/>
  <c r="B68" i="16"/>
  <c r="B71" i="16"/>
  <c r="B70" i="16"/>
  <c r="B73" i="16"/>
  <c r="B69" i="16"/>
  <c r="A67" i="16"/>
  <c r="A70" i="16"/>
  <c r="A73" i="16"/>
  <c r="A69" i="16"/>
  <c r="A72" i="16"/>
  <c r="A68" i="16"/>
  <c r="A71" i="16"/>
  <c r="A23" i="16"/>
  <c r="A24" i="16"/>
  <c r="B27" i="16"/>
  <c r="B36" i="16"/>
  <c r="B32" i="16"/>
  <c r="B28" i="16"/>
  <c r="B35" i="16"/>
  <c r="B31" i="16"/>
  <c r="B34" i="16"/>
  <c r="B30" i="16"/>
  <c r="B37" i="16"/>
  <c r="B33" i="16"/>
  <c r="B29" i="16"/>
  <c r="A27" i="16"/>
  <c r="A36" i="16"/>
  <c r="A32" i="16"/>
  <c r="A28" i="16"/>
  <c r="A35" i="16"/>
  <c r="A31" i="16"/>
  <c r="A34" i="16"/>
  <c r="A30" i="16"/>
  <c r="A37" i="16"/>
  <c r="A33" i="16"/>
  <c r="A29" i="16"/>
  <c r="B23" i="16"/>
  <c r="B24" i="16"/>
  <c r="L296" i="16"/>
  <c r="L19" i="16" s="1"/>
  <c r="F298" i="16"/>
  <c r="F297" i="16" s="1"/>
  <c r="F296" i="16" s="1"/>
  <c r="I70" i="96"/>
  <c r="I75" i="96"/>
  <c r="I77" i="96"/>
  <c r="I74" i="96"/>
  <c r="C27" i="96" s="1"/>
  <c r="I71" i="96"/>
  <c r="I73" i="96"/>
  <c r="I76" i="96"/>
  <c r="I72" i="96"/>
  <c r="I58" i="96"/>
  <c r="I61" i="96"/>
  <c r="I64" i="96"/>
  <c r="I67" i="96"/>
  <c r="I59" i="96"/>
  <c r="I62" i="96"/>
  <c r="I65" i="96"/>
  <c r="I68" i="96"/>
  <c r="I60" i="96"/>
  <c r="I63" i="96"/>
  <c r="I66" i="96"/>
  <c r="F58" i="96"/>
  <c r="F67" i="96"/>
  <c r="F63" i="96"/>
  <c r="F59" i="96"/>
  <c r="F66" i="96"/>
  <c r="F62" i="96"/>
  <c r="F65" i="96"/>
  <c r="F61" i="96"/>
  <c r="F68" i="96"/>
  <c r="F64" i="96"/>
  <c r="F60" i="96"/>
  <c r="C43" i="96"/>
  <c r="A43" i="96" s="1" a="1"/>
  <c r="A43" i="96" s="1"/>
  <c r="C52" i="96"/>
  <c r="C48" i="96"/>
  <c r="C44" i="96"/>
  <c r="C53" i="96"/>
  <c r="C49" i="96"/>
  <c r="C45" i="96"/>
  <c r="C54" i="96"/>
  <c r="C50" i="96"/>
  <c r="C46" i="96"/>
  <c r="C55" i="96"/>
  <c r="C51" i="96"/>
  <c r="C47" i="96"/>
  <c r="A58" i="96"/>
  <c r="E58" i="96" s="1"/>
  <c r="A65" i="96"/>
  <c r="G65" i="96" s="1" a="1"/>
  <c r="A61" i="96"/>
  <c r="G61" i="96" s="1" a="1"/>
  <c r="A68" i="96"/>
  <c r="G68" i="96" s="1" a="1"/>
  <c r="A64" i="96"/>
  <c r="G64" i="96" s="1" a="1"/>
  <c r="A60" i="96"/>
  <c r="G60" i="96" s="1" a="1"/>
  <c r="A67" i="96"/>
  <c r="G67" i="96" s="1" a="1"/>
  <c r="A63" i="96"/>
  <c r="G63" i="96" s="1" a="1"/>
  <c r="A59" i="96"/>
  <c r="G59" i="96" s="1" a="1"/>
  <c r="A66" i="96"/>
  <c r="G66" i="96" s="1" a="1"/>
  <c r="A62" i="96"/>
  <c r="G62" i="96" s="1" a="1"/>
  <c r="E44" i="96"/>
  <c r="E53" i="96"/>
  <c r="E49" i="96"/>
  <c r="E45" i="96"/>
  <c r="E54" i="96"/>
  <c r="E50" i="96"/>
  <c r="E46" i="96"/>
  <c r="E55" i="96"/>
  <c r="E51" i="96"/>
  <c r="E47" i="96"/>
  <c r="E43" i="96"/>
  <c r="E52" i="96"/>
  <c r="E48" i="96"/>
  <c r="A70" i="96"/>
  <c r="E70" i="96" s="1"/>
  <c r="A77" i="96"/>
  <c r="E77" i="96" s="1"/>
  <c r="A73" i="96"/>
  <c r="E73" i="96" s="1"/>
  <c r="A76" i="96"/>
  <c r="E76" i="96" s="1"/>
  <c r="A72" i="96"/>
  <c r="E72" i="96" s="1"/>
  <c r="A75" i="96"/>
  <c r="E75" i="96" s="1"/>
  <c r="A71" i="96"/>
  <c r="E71" i="96" s="1"/>
  <c r="A74" i="96"/>
  <c r="E74" i="96" s="1"/>
  <c r="A134" i="16"/>
  <c r="A135" i="16"/>
  <c r="A136" i="16"/>
  <c r="B134" i="16"/>
  <c r="B135" i="16"/>
  <c r="B136" i="16"/>
  <c r="B130" i="16"/>
  <c r="B131" i="16"/>
  <c r="B132" i="16"/>
  <c r="A130" i="16"/>
  <c r="A131" i="16"/>
  <c r="A132" i="16"/>
  <c r="A103" i="16"/>
  <c r="A110" i="16"/>
  <c r="A106" i="16"/>
  <c r="A111" i="16"/>
  <c r="A107" i="16"/>
  <c r="A112" i="16"/>
  <c r="A108" i="16"/>
  <c r="A104" i="16"/>
  <c r="A109" i="16"/>
  <c r="A105" i="16"/>
  <c r="B103" i="16"/>
  <c r="B112" i="16"/>
  <c r="B108" i="16"/>
  <c r="B104" i="16"/>
  <c r="B109" i="16"/>
  <c r="B105" i="16"/>
  <c r="B110" i="16"/>
  <c r="B106" i="16"/>
  <c r="B111" i="16"/>
  <c r="B107" i="16"/>
  <c r="A91" i="16"/>
  <c r="A92" i="16"/>
  <c r="A93" i="16"/>
  <c r="B91" i="16"/>
  <c r="B92" i="16"/>
  <c r="B93" i="16"/>
  <c r="A77" i="16"/>
  <c r="A84" i="16"/>
  <c r="A80" i="16"/>
  <c r="A85" i="16"/>
  <c r="A81" i="16"/>
  <c r="A86" i="16"/>
  <c r="A82" i="16"/>
  <c r="A78" i="16"/>
  <c r="A83" i="16"/>
  <c r="A79" i="16"/>
  <c r="B77" i="16"/>
  <c r="B86" i="16"/>
  <c r="B82" i="16"/>
  <c r="B78" i="16"/>
  <c r="B83" i="16"/>
  <c r="B79" i="16"/>
  <c r="B84" i="16"/>
  <c r="B80" i="16"/>
  <c r="B85" i="16"/>
  <c r="B81" i="16"/>
  <c r="A41" i="16"/>
  <c r="A42" i="16"/>
  <c r="A114" i="16"/>
  <c r="B115" i="16"/>
  <c r="A99" i="16"/>
  <c r="A100" i="16"/>
  <c r="B99" i="16"/>
  <c r="B100" i="16"/>
  <c r="E21" i="97" a="1"/>
  <c r="B51" i="96" a="1"/>
  <c r="B61" i="96" a="1"/>
  <c r="B46" i="96" a="1"/>
  <c r="B48" i="96" a="1"/>
  <c r="B63" i="96" a="1"/>
  <c r="B68" i="96" a="1"/>
  <c r="E10" i="97" a="1"/>
  <c r="B52" i="96" a="1"/>
  <c r="E31" i="97" a="1"/>
  <c r="B45" i="96" a="1"/>
  <c r="E25" i="97" a="1"/>
  <c r="E9" i="97" a="1"/>
  <c r="B50" i="96" a="1"/>
  <c r="B65" i="96" a="1"/>
  <c r="B67" i="96" a="1"/>
  <c r="B47" i="96" a="1"/>
  <c r="B53" i="96" a="1"/>
  <c r="B59" i="96" a="1"/>
  <c r="B58" i="96"/>
  <c r="B55" i="96" a="1"/>
  <c r="B43" i="96" a="1"/>
  <c r="B49" i="96" a="1"/>
  <c r="B44" i="96" a="1"/>
  <c r="E20" i="97" a="1"/>
  <c r="B66" i="96" a="1"/>
  <c r="E19" i="97" a="1"/>
  <c r="E26" i="97" a="1"/>
  <c r="E30" i="97" a="1"/>
  <c r="B54" i="96" a="1"/>
  <c r="E11" i="97" a="1"/>
  <c r="B60" i="96" a="1"/>
  <c r="E29" i="97" a="1"/>
  <c r="E24" i="97" a="1"/>
  <c r="B64" i="96" a="1"/>
  <c r="B62" i="96" a="1"/>
  <c r="G19" i="97" l="1"/>
  <c r="E11" i="97"/>
  <c r="H11" i="97"/>
  <c r="F11" i="97"/>
  <c r="G11" i="97"/>
  <c r="F21" i="97"/>
  <c r="H21" i="97"/>
  <c r="G21" i="97"/>
  <c r="H19" i="97"/>
  <c r="G10" i="97"/>
  <c r="H10" i="97"/>
  <c r="F10" i="97"/>
  <c r="F9" i="97"/>
  <c r="G9" i="97"/>
  <c r="H9" i="97"/>
  <c r="H20" i="97"/>
  <c r="F20" i="97"/>
  <c r="G20" i="97"/>
  <c r="F19" i="97"/>
  <c r="L56" i="19"/>
  <c r="H56" i="19"/>
  <c r="K56" i="19"/>
  <c r="F56" i="19"/>
  <c r="J56" i="19"/>
  <c r="M56" i="19"/>
  <c r="I56" i="19"/>
  <c r="K30" i="19"/>
  <c r="J30" i="19"/>
  <c r="M30" i="19"/>
  <c r="I30" i="19"/>
  <c r="L30" i="19"/>
  <c r="H30" i="19"/>
  <c r="F30" i="19"/>
  <c r="M25" i="19"/>
  <c r="I25" i="19"/>
  <c r="L25" i="19"/>
  <c r="H25" i="19"/>
  <c r="K25" i="19"/>
  <c r="F25" i="19"/>
  <c r="J25" i="19"/>
  <c r="M50" i="19"/>
  <c r="I50" i="19"/>
  <c r="L50" i="19"/>
  <c r="H50" i="19"/>
  <c r="K50" i="19"/>
  <c r="F50" i="19"/>
  <c r="J50" i="19"/>
  <c r="J51" i="19"/>
  <c r="M51" i="19"/>
  <c r="I51" i="19"/>
  <c r="L51" i="19"/>
  <c r="H51" i="19"/>
  <c r="K51" i="19"/>
  <c r="F51" i="19"/>
  <c r="L31" i="19"/>
  <c r="H31" i="19"/>
  <c r="K31" i="19"/>
  <c r="F31" i="19"/>
  <c r="J31" i="19"/>
  <c r="M31" i="19"/>
  <c r="I31" i="19"/>
  <c r="J35" i="19"/>
  <c r="M35" i="19"/>
  <c r="I35" i="19"/>
  <c r="L35" i="19"/>
  <c r="H35" i="19"/>
  <c r="K35" i="19"/>
  <c r="F35" i="19"/>
  <c r="L47" i="19"/>
  <c r="H47" i="19"/>
  <c r="F47" i="19"/>
  <c r="K47" i="19"/>
  <c r="J47" i="19"/>
  <c r="M47" i="19"/>
  <c r="I47" i="19"/>
  <c r="M42" i="19"/>
  <c r="I42" i="19"/>
  <c r="L42" i="19"/>
  <c r="H42" i="19"/>
  <c r="F42" i="19"/>
  <c r="K42" i="19"/>
  <c r="J42" i="19"/>
  <c r="K61" i="19"/>
  <c r="J61" i="19"/>
  <c r="M61" i="19"/>
  <c r="I61" i="19"/>
  <c r="L61" i="19"/>
  <c r="H61" i="19"/>
  <c r="F61" i="19"/>
  <c r="K69" i="19"/>
  <c r="F69" i="19"/>
  <c r="J69" i="19"/>
  <c r="M69" i="19"/>
  <c r="I69" i="19"/>
  <c r="L69" i="19"/>
  <c r="H69" i="19"/>
  <c r="L48" i="19"/>
  <c r="H48" i="19"/>
  <c r="K48" i="19"/>
  <c r="F48" i="19"/>
  <c r="J48" i="19"/>
  <c r="M48" i="19"/>
  <c r="I48" i="19"/>
  <c r="K22" i="19"/>
  <c r="F22" i="19"/>
  <c r="J22" i="19"/>
  <c r="M22" i="19"/>
  <c r="I22" i="19"/>
  <c r="L22" i="19"/>
  <c r="H22" i="19"/>
  <c r="M41" i="19"/>
  <c r="I41" i="19"/>
  <c r="L41" i="19"/>
  <c r="H41" i="19"/>
  <c r="K41" i="19"/>
  <c r="F41" i="19"/>
  <c r="J41" i="19"/>
  <c r="L64" i="19"/>
  <c r="K64" i="19"/>
  <c r="F64" i="19"/>
  <c r="J64" i="19"/>
  <c r="M64" i="19"/>
  <c r="I64" i="19"/>
  <c r="H64" i="19"/>
  <c r="K45" i="19"/>
  <c r="J45" i="19"/>
  <c r="M45" i="19"/>
  <c r="I45" i="19"/>
  <c r="L45" i="19"/>
  <c r="H45" i="19"/>
  <c r="F45" i="19"/>
  <c r="J43" i="19"/>
  <c r="M43" i="19"/>
  <c r="I43" i="19"/>
  <c r="L43" i="19"/>
  <c r="H43" i="19"/>
  <c r="K43" i="19"/>
  <c r="F43" i="19"/>
  <c r="L23" i="19"/>
  <c r="H23" i="19"/>
  <c r="K23" i="19"/>
  <c r="F23" i="19"/>
  <c r="J23" i="19"/>
  <c r="M23" i="19"/>
  <c r="I23" i="19"/>
  <c r="M65" i="19"/>
  <c r="I65" i="19"/>
  <c r="L65" i="19"/>
  <c r="H65" i="19"/>
  <c r="F65" i="19"/>
  <c r="K65" i="19"/>
  <c r="J65" i="19"/>
  <c r="K54" i="19"/>
  <c r="F54" i="19"/>
  <c r="J54" i="19"/>
  <c r="M54" i="19"/>
  <c r="I54" i="19"/>
  <c r="L54" i="19"/>
  <c r="H54" i="19"/>
  <c r="J67" i="19"/>
  <c r="M67" i="19"/>
  <c r="I67" i="19"/>
  <c r="F67" i="19"/>
  <c r="L67" i="19"/>
  <c r="H67" i="19"/>
  <c r="K67" i="19"/>
  <c r="M34" i="19"/>
  <c r="I34" i="19"/>
  <c r="L34" i="19"/>
  <c r="H34" i="19"/>
  <c r="K34" i="19"/>
  <c r="F34" i="19"/>
  <c r="J34" i="19"/>
  <c r="J27" i="19"/>
  <c r="M27" i="19"/>
  <c r="I27" i="19"/>
  <c r="L27" i="19"/>
  <c r="H27" i="19"/>
  <c r="K27" i="19"/>
  <c r="F27" i="19"/>
  <c r="K53" i="19"/>
  <c r="F53" i="19"/>
  <c r="J53" i="19"/>
  <c r="M53" i="19"/>
  <c r="I53" i="19"/>
  <c r="L53" i="19"/>
  <c r="H53" i="19"/>
  <c r="L40" i="19"/>
  <c r="H40" i="19"/>
  <c r="K40" i="19"/>
  <c r="F40" i="19"/>
  <c r="J40" i="19"/>
  <c r="M40" i="19"/>
  <c r="I40" i="19"/>
  <c r="J52" i="19"/>
  <c r="M52" i="19"/>
  <c r="I52" i="19"/>
  <c r="L52" i="19"/>
  <c r="H52" i="19"/>
  <c r="K52" i="19"/>
  <c r="F52" i="19"/>
  <c r="L39" i="19"/>
  <c r="H39" i="19"/>
  <c r="K39" i="19"/>
  <c r="F39" i="19"/>
  <c r="J39" i="19"/>
  <c r="M39" i="19"/>
  <c r="I39" i="19"/>
  <c r="M26" i="19"/>
  <c r="I26" i="19"/>
  <c r="L26" i="19"/>
  <c r="H26" i="19"/>
  <c r="F26" i="19"/>
  <c r="K26" i="19"/>
  <c r="J26" i="19"/>
  <c r="K29" i="19"/>
  <c r="J29" i="19"/>
  <c r="M29" i="19"/>
  <c r="I29" i="19"/>
  <c r="L29" i="19"/>
  <c r="H29" i="19"/>
  <c r="F29" i="19"/>
  <c r="J60" i="19"/>
  <c r="M60" i="19"/>
  <c r="I60" i="19"/>
  <c r="L60" i="19"/>
  <c r="H60" i="19"/>
  <c r="K60" i="19"/>
  <c r="F60" i="19"/>
  <c r="F62" i="19"/>
  <c r="K62" i="19"/>
  <c r="J62" i="19"/>
  <c r="M62" i="19"/>
  <c r="I62" i="19"/>
  <c r="L62" i="19"/>
  <c r="H62" i="19"/>
  <c r="M57" i="19"/>
  <c r="I57" i="19"/>
  <c r="L57" i="19"/>
  <c r="H57" i="19"/>
  <c r="K57" i="19"/>
  <c r="F57" i="19"/>
  <c r="J57" i="19"/>
  <c r="J68" i="19"/>
  <c r="M68" i="19"/>
  <c r="I68" i="19"/>
  <c r="L68" i="19"/>
  <c r="H68" i="19"/>
  <c r="K68" i="19"/>
  <c r="F68" i="19"/>
  <c r="K37" i="19"/>
  <c r="F37" i="19"/>
  <c r="J37" i="19"/>
  <c r="M37" i="19"/>
  <c r="I37" i="19"/>
  <c r="L37" i="19"/>
  <c r="H37" i="19"/>
  <c r="J44" i="19"/>
  <c r="M44" i="19"/>
  <c r="I44" i="19"/>
  <c r="L44" i="19"/>
  <c r="H44" i="19"/>
  <c r="K44" i="19"/>
  <c r="F44" i="19"/>
  <c r="K46" i="19"/>
  <c r="J46" i="19"/>
  <c r="M46" i="19"/>
  <c r="I46" i="19"/>
  <c r="L46" i="19"/>
  <c r="H46" i="19"/>
  <c r="F46" i="19"/>
  <c r="L32" i="19"/>
  <c r="H32" i="19"/>
  <c r="K32" i="19"/>
  <c r="F32" i="19"/>
  <c r="J32" i="19"/>
  <c r="M32" i="19"/>
  <c r="I32" i="19"/>
  <c r="J36" i="19"/>
  <c r="M36" i="19"/>
  <c r="I36" i="19"/>
  <c r="L36" i="19"/>
  <c r="H36" i="19"/>
  <c r="K36" i="19"/>
  <c r="F36" i="19"/>
  <c r="K21" i="19"/>
  <c r="F21" i="19"/>
  <c r="J21" i="19"/>
  <c r="M21" i="19"/>
  <c r="I21" i="19"/>
  <c r="L21" i="19"/>
  <c r="H21" i="19"/>
  <c r="M58" i="19"/>
  <c r="I58" i="19"/>
  <c r="L58" i="19"/>
  <c r="H58" i="19"/>
  <c r="F58" i="19"/>
  <c r="K58" i="19"/>
  <c r="J58" i="19"/>
  <c r="F38" i="19"/>
  <c r="K38" i="19"/>
  <c r="J38" i="19"/>
  <c r="M38" i="19"/>
  <c r="I38" i="19"/>
  <c r="L38" i="19"/>
  <c r="H38" i="19"/>
  <c r="L63" i="19"/>
  <c r="H63" i="19"/>
  <c r="F63" i="19"/>
  <c r="K63" i="19"/>
  <c r="J63" i="19"/>
  <c r="M63" i="19"/>
  <c r="I63" i="19"/>
  <c r="M49" i="19"/>
  <c r="I49" i="19"/>
  <c r="L49" i="19"/>
  <c r="H49" i="19"/>
  <c r="K49" i="19"/>
  <c r="F49" i="19"/>
  <c r="J49" i="19"/>
  <c r="J59" i="19"/>
  <c r="M59" i="19"/>
  <c r="I59" i="19"/>
  <c r="L59" i="19"/>
  <c r="H59" i="19"/>
  <c r="K59" i="19"/>
  <c r="F59" i="19"/>
  <c r="L24" i="19"/>
  <c r="H24" i="19"/>
  <c r="K24" i="19"/>
  <c r="F24" i="19"/>
  <c r="J24" i="19"/>
  <c r="M24" i="19"/>
  <c r="I24" i="19"/>
  <c r="J28" i="19"/>
  <c r="M28" i="19"/>
  <c r="I28" i="19"/>
  <c r="L28" i="19"/>
  <c r="H28" i="19"/>
  <c r="K28" i="19"/>
  <c r="F28" i="19"/>
  <c r="L55" i="19"/>
  <c r="H55" i="19"/>
  <c r="K55" i="19"/>
  <c r="F55" i="19"/>
  <c r="J55" i="19"/>
  <c r="M55" i="19"/>
  <c r="I55" i="19"/>
  <c r="M33" i="19"/>
  <c r="I33" i="19"/>
  <c r="L33" i="19"/>
  <c r="H33" i="19"/>
  <c r="K33" i="19"/>
  <c r="F33" i="19"/>
  <c r="J33" i="19"/>
  <c r="M66" i="19"/>
  <c r="I66" i="19"/>
  <c r="L66" i="19"/>
  <c r="H66" i="19"/>
  <c r="F66" i="19"/>
  <c r="K66" i="19"/>
  <c r="J66" i="19"/>
  <c r="J20" i="19"/>
  <c r="M20" i="19"/>
  <c r="I20" i="19"/>
  <c r="L20" i="19"/>
  <c r="H20" i="19"/>
  <c r="K20" i="19"/>
  <c r="F20" i="19"/>
  <c r="N1" i="19" a="1"/>
  <c r="N1" i="19" s="1"/>
  <c r="F19" i="19"/>
  <c r="K19" i="19"/>
  <c r="I19" i="19"/>
  <c r="M19" i="19"/>
  <c r="L19" i="19"/>
  <c r="H19" i="19"/>
  <c r="J19" i="19"/>
  <c r="H24" i="97"/>
  <c r="G24" i="97" a="1"/>
  <c r="G24" i="97" s="1"/>
  <c r="F24" i="97" a="1"/>
  <c r="F24" i="97" s="1"/>
  <c r="H26" i="97" a="1"/>
  <c r="H26" i="97" s="1"/>
  <c r="G26" i="97" a="1"/>
  <c r="G26" i="97" s="1"/>
  <c r="F26" i="97"/>
  <c r="G25" i="97" a="1"/>
  <c r="G25" i="97" s="1"/>
  <c r="F25" i="97" a="1"/>
  <c r="F25" i="97" s="1"/>
  <c r="H25" i="97" a="1"/>
  <c r="H25" i="97" s="1"/>
  <c r="E10" i="97"/>
  <c r="E9" i="97"/>
  <c r="B10" i="97" a="1"/>
  <c r="B10" i="97" s="1"/>
  <c r="B9" i="97" a="1"/>
  <c r="B9" i="97" s="1"/>
  <c r="B11" i="97" a="1"/>
  <c r="B11" i="97" s="1"/>
  <c r="E31" i="97"/>
  <c r="E30" i="97"/>
  <c r="E25" i="97"/>
  <c r="E21" i="97"/>
  <c r="E20" i="97"/>
  <c r="B66" i="96"/>
  <c r="B60" i="96"/>
  <c r="B65" i="96"/>
  <c r="B59" i="96"/>
  <c r="B64" i="96"/>
  <c r="E29" i="97"/>
  <c r="E26" i="97"/>
  <c r="E24" i="97"/>
  <c r="E19" i="97"/>
  <c r="B63" i="96"/>
  <c r="B68" i="96"/>
  <c r="B62" i="96"/>
  <c r="B67" i="96"/>
  <c r="B61" i="96"/>
  <c r="B31" i="97" a="1"/>
  <c r="B31" i="97" s="1"/>
  <c r="B30" i="97" a="1"/>
  <c r="B30" i="97" s="1"/>
  <c r="B25" i="97" a="1"/>
  <c r="B25" i="97" s="1"/>
  <c r="B21" i="97" a="1"/>
  <c r="B21" i="97" s="1"/>
  <c r="B20" i="97" a="1"/>
  <c r="B20" i="97" s="1"/>
  <c r="C66" i="96" a="1"/>
  <c r="C66" i="96" s="1"/>
  <c r="C60" i="96" a="1"/>
  <c r="C60" i="96" s="1"/>
  <c r="C65" i="96" a="1"/>
  <c r="C65" i="96" s="1"/>
  <c r="C59" i="96" a="1"/>
  <c r="C59" i="96" s="1"/>
  <c r="C64" i="96" a="1"/>
  <c r="C64" i="96" s="1"/>
  <c r="B29" i="97" a="1"/>
  <c r="B29" i="97" s="1"/>
  <c r="B26" i="97" a="1"/>
  <c r="B26" i="97" s="1"/>
  <c r="B24" i="97" a="1"/>
  <c r="B24" i="97" s="1"/>
  <c r="B19" i="97" a="1"/>
  <c r="B19" i="97" s="1"/>
  <c r="C63" i="96" a="1"/>
  <c r="C63" i="96" s="1"/>
  <c r="C68" i="96" a="1"/>
  <c r="C68" i="96" s="1"/>
  <c r="C62" i="96" a="1"/>
  <c r="C62" i="96" s="1"/>
  <c r="C67" i="96" a="1"/>
  <c r="C67" i="96" s="1"/>
  <c r="C61" i="96" a="1"/>
  <c r="C61" i="96" s="1"/>
  <c r="B47" i="96"/>
  <c r="B55" i="96"/>
  <c r="B50" i="96"/>
  <c r="B45" i="96"/>
  <c r="B53" i="96"/>
  <c r="B48" i="96"/>
  <c r="B43" i="96"/>
  <c r="B51" i="96"/>
  <c r="B46" i="96"/>
  <c r="B54" i="96"/>
  <c r="B49" i="96"/>
  <c r="B44" i="96"/>
  <c r="B52" i="96"/>
  <c r="E66" i="96"/>
  <c r="G66" i="96"/>
  <c r="E63" i="96"/>
  <c r="G63" i="96"/>
  <c r="E60" i="96"/>
  <c r="G60" i="96"/>
  <c r="E68" i="96"/>
  <c r="G68" i="96"/>
  <c r="E65" i="96"/>
  <c r="G65" i="96"/>
  <c r="A47" i="96" a="1"/>
  <c r="A47" i="96" s="1"/>
  <c r="A55" i="96" a="1"/>
  <c r="A55" i="96" s="1"/>
  <c r="A50" i="96" a="1"/>
  <c r="A50" i="96" s="1"/>
  <c r="A45" i="96" a="1"/>
  <c r="A45" i="96" s="1"/>
  <c r="A53" i="96" a="1"/>
  <c r="A53" i="96" s="1"/>
  <c r="A48" i="96" a="1"/>
  <c r="A48" i="96" s="1"/>
  <c r="E62" i="96"/>
  <c r="G62" i="96"/>
  <c r="E59" i="96"/>
  <c r="G59" i="96"/>
  <c r="C15" i="96" s="1"/>
  <c r="E67" i="96"/>
  <c r="G67" i="96"/>
  <c r="E64" i="96"/>
  <c r="G64" i="96"/>
  <c r="E61" i="96"/>
  <c r="G61" i="96"/>
  <c r="A51" i="96" a="1"/>
  <c r="A51" i="96" s="1"/>
  <c r="A46" i="96" a="1"/>
  <c r="A46" i="96" s="1"/>
  <c r="A54" i="96" a="1"/>
  <c r="A54" i="96" s="1"/>
  <c r="A49" i="96" a="1"/>
  <c r="A49" i="96" s="1"/>
  <c r="A44" i="96" a="1"/>
  <c r="A44" i="96" s="1"/>
  <c r="A52" i="96" a="1"/>
  <c r="A52" i="96" s="1"/>
  <c r="H70" i="19" l="1"/>
  <c r="M70" i="19"/>
  <c r="K70" i="19"/>
  <c r="J70" i="19"/>
  <c r="L70" i="19"/>
  <c r="I70" i="19"/>
  <c r="F70" i="19"/>
  <c r="H116" i="16"/>
  <c r="H74" i="16" s="1"/>
  <c r="A70" i="19" l="1"/>
  <c r="A74" i="19"/>
  <c r="B74" i="19" s="1"/>
  <c r="A75" i="19"/>
  <c r="B75" i="19" s="1"/>
  <c r="A73" i="19"/>
  <c r="B73" i="19" s="1"/>
  <c r="A3" i="19"/>
  <c r="A1" i="19"/>
  <c r="H19" i="16"/>
  <c r="F128" i="16"/>
  <c r="F74" i="16" s="1"/>
  <c r="O3" i="16" l="1"/>
  <c r="A302" i="16" s="1"/>
  <c r="O2" i="16"/>
  <c r="E73" i="19"/>
  <c r="F19" i="16"/>
  <c r="P2" i="16"/>
  <c r="A5" i="19" l="1"/>
  <c r="I1" i="19"/>
  <c r="J72" i="19"/>
  <c r="J5" i="19" s="1"/>
  <c r="J301" i="16" l="1"/>
  <c r="A300" i="16"/>
  <c r="BV22" i="8" l="1"/>
  <c r="A8" i="8" s="1"/>
  <c r="BE5" i="8" l="1"/>
  <c r="AY54" i="8"/>
  <c r="DE2" i="8"/>
  <c r="E1" i="8" s="1"/>
  <c r="AY53" i="8"/>
  <c r="BE1" i="8"/>
</calcChain>
</file>

<file path=xl/sharedStrings.xml><?xml version="1.0" encoding="utf-8"?>
<sst xmlns="http://schemas.openxmlformats.org/spreadsheetml/2006/main" count="2786" uniqueCount="863">
  <si>
    <t>Наименование показателя</t>
  </si>
  <si>
    <t>Глава по БК</t>
  </si>
  <si>
    <t>по ОКЕИ</t>
  </si>
  <si>
    <t>код</t>
  </si>
  <si>
    <t>КОДЫ</t>
  </si>
  <si>
    <t>ИНН</t>
  </si>
  <si>
    <t>КПП</t>
  </si>
  <si>
    <t>"</t>
  </si>
  <si>
    <t>Единица измерения: руб.</t>
  </si>
  <si>
    <t>383</t>
  </si>
  <si>
    <t>выплаты</t>
  </si>
  <si>
    <t>поступления</t>
  </si>
  <si>
    <t>КОСГУ</t>
  </si>
  <si>
    <t>Краткое наименование</t>
  </si>
  <si>
    <t>Полное наименование</t>
  </si>
  <si>
    <t>МБДОУ Петровский детский сад</t>
  </si>
  <si>
    <t>Муниципальное бюджетное дошкольное образовательное учреждение Петровский детский сад</t>
  </si>
  <si>
    <t>МАОУ "Вахтанская средняя школа"</t>
  </si>
  <si>
    <t>Муниципальное автономное общеобразовательное учреждение "Вахтанская средняя школа"</t>
  </si>
  <si>
    <t>МБУ "Благоустройство"</t>
  </si>
  <si>
    <t>Муниципальное бюджетное учреждение "Благоустройство"</t>
  </si>
  <si>
    <t>МБОУ "Большесвечанская НШ - ДС"</t>
  </si>
  <si>
    <t>Муниципальное бюджетное общеобразовательное учреждение "Большесвечанская начальная школа - детский сад"</t>
  </si>
  <si>
    <t>МАУ ДО ШИ городского округа г. Шахунья Нижегородской области</t>
  </si>
  <si>
    <t>Муниципальное автономное учреждение дополнительного образования "Школа искусств городского округа город Шахунья Нижегородской области"</t>
  </si>
  <si>
    <t>МБДОУ Лужайский д/с "Малыш"</t>
  </si>
  <si>
    <t>Муниципальное бюджетное дошкольное образовательное учреждение Лужайский детский сад "Малыш"</t>
  </si>
  <si>
    <t>МБДОУ Туманинский д/c "Рябинка"</t>
  </si>
  <si>
    <t>Муниципальное бюджетное дошкольное образовательное учреждение Туманинский детский сад "Рябинка"</t>
  </si>
  <si>
    <t>МБДОУ Хмелевицкий д/с</t>
  </si>
  <si>
    <t>Муниципальное бюджетное дошкольное образовательное учреждение Хмелевицкий детский сад</t>
  </si>
  <si>
    <t>МБДОУ д/с № 1 "Горошинка"</t>
  </si>
  <si>
    <t>Муниципальное бюджетное дошкольное образовательное учреждение детский сад № 1 "Горошинка"</t>
  </si>
  <si>
    <t>МБДОУ д/с №2 "Солнышко"</t>
  </si>
  <si>
    <t>Муниципальное бюджетное дошкольное образовательное учреждение детский сад №2 "Солнышко"</t>
  </si>
  <si>
    <t>МБДОУ д\с № 5 "Теремок"</t>
  </si>
  <si>
    <t>Муниципальное бюджетное дошкольное образовательное учреждение детский сад № 5 "Теремок" комбинированного вида</t>
  </si>
  <si>
    <t>МБДОУ Вахтанский д/с "Одуванчик"</t>
  </si>
  <si>
    <t>Муниципальное бюджетное дошкольное образовательное учреждение Вахтанский детский сад "Одуванчик"</t>
  </si>
  <si>
    <t>МБДОУ д/с № 35</t>
  </si>
  <si>
    <t>Муниципальное бюджетное дошкольное образовательное учреждение детский сад № 35</t>
  </si>
  <si>
    <t>МБДОУ д/с № 3 "Сказка"</t>
  </si>
  <si>
    <t>Муниципальное бюджетное дошкольное образовательное учреждение детский сад № 3 "Сказка"</t>
  </si>
  <si>
    <t>МБДОУ Сявский детский сад "Колокольчик"</t>
  </si>
  <si>
    <t>Муниципальное бюджетное дошкольное образовательное учреждение Сявский детский сад "Колокольчик"</t>
  </si>
  <si>
    <t>МБДОУ д/с № 147</t>
  </si>
  <si>
    <t>Муниципальное бюджетное дошкольное образовательное учреждение детский сад № 147</t>
  </si>
  <si>
    <t>(МБДОУ Д/С № 41)</t>
  </si>
  <si>
    <t>Муниципальное бюджетное дошкольное образовательное учреждение детский сад № 41 комбинированного вида</t>
  </si>
  <si>
    <t>МАДОУ д/с "Звёздочка"</t>
  </si>
  <si>
    <t>Муниципальное автономное дошкольное образовательное учреждение детский сад "Звёздочка"</t>
  </si>
  <si>
    <t>Муниципальное бюджетное учреждение культуры "Централизованная библиотечная система городского округа город Шахунья"</t>
  </si>
  <si>
    <t>МБОУ Верховская ООШ</t>
  </si>
  <si>
    <t>Муниципальное бюджетное общеобразовательное учреждение Верховская основная общеобразовательная школа</t>
  </si>
  <si>
    <t>МБОУ Красногорская ООШ</t>
  </si>
  <si>
    <t>Муниципальное бюджетное образовательное учреждение Красногорская основная общеобразовательная школа</t>
  </si>
  <si>
    <t>МБУ ДО "Центр внешкольной работы "Перспектива"</t>
  </si>
  <si>
    <t>Муниципальное бюджетное учреждение дополнительного образования "Центр внешкольной работы "Перспектива"</t>
  </si>
  <si>
    <t>МБОУ "Гимназия"</t>
  </si>
  <si>
    <t>Муниципальное бюджетное общеобразовательное учреждение "Шахунская гимназия имени А.С.Пушкина"</t>
  </si>
  <si>
    <t>МБОУ Лужайская ООШ</t>
  </si>
  <si>
    <t>Муниципальное бюджетное общеобразовательное учреждение Лужайская основная общеобразовательная школа</t>
  </si>
  <si>
    <t>МБОУ Шахунская СОШ № 1 им. Д. Комарова</t>
  </si>
  <si>
    <t>Муниципальное бюджетное общеобразовательное учреждение Шахунская средняя общеобразовательная школа № 1 им. Д. Комарова</t>
  </si>
  <si>
    <t>МБОУ Сявская СОШ</t>
  </si>
  <si>
    <t>Муниципальное бюджетное общеобразовательное учреждение Сявская средняя общеобразовательная школа</t>
  </si>
  <si>
    <t>МБОУ Черновская ООШ</t>
  </si>
  <si>
    <t>Муниципальное бюджетное общеобразовательное учреждение Черновская основная общеобразовательная школа</t>
  </si>
  <si>
    <t>МБОУ Шахунская СОШ № 14</t>
  </si>
  <si>
    <t>Муниципальное бюджетное общеобразовательное учреждение Шахунская средняя общеобразовательная школа № 14</t>
  </si>
  <si>
    <t>МБОУ СОШ №2</t>
  </si>
  <si>
    <t>Муниципальное бюджетное общеобразовательное учреждение Шахунская средняя общеобразовательная школа №2</t>
  </si>
  <si>
    <t>МБОУ  Хмелевицкая СОШ</t>
  </si>
  <si>
    <t>Муниципальное бюджетное общеобразовательное учреждение "Хмелевицкая средняя общеобразовательная школа"</t>
  </si>
  <si>
    <t>МБУК "ЦКС городского округа город Шахунья Нижегородской области"</t>
  </si>
  <si>
    <t>Муниципальное бюджетное учреждение культуры "Централизованная клубная система городского округа город Шахунья Нижегородской области"</t>
  </si>
  <si>
    <t>МБУК "НФЭМ"</t>
  </si>
  <si>
    <t>Муниципальное бюджетное учреждение культуры "Народный фольклорно-этнографический музей" городского округа город Шахунья Нижегородской области</t>
  </si>
  <si>
    <t>МБУ ДО "Шахунская ДХШ"</t>
  </si>
  <si>
    <t>Муниципальное бюджетное учреждение дополнительного образования "Шахунская детская художественная школа"</t>
  </si>
  <si>
    <t>МБУ ДО Хмелевицкая ДШИ</t>
  </si>
  <si>
    <t>Муниципальное бюджетное учреждение дополнительного образования "Детская школа искусств" с. Хмелевицы</t>
  </si>
  <si>
    <t>МБУ ДО Сявская ДМШ</t>
  </si>
  <si>
    <t>Муниципальное бюджетное учреждение дополнительного образования "Сявская детская музыкальная школа"</t>
  </si>
  <si>
    <t>МБУ ДО Вахтанская ДМШ</t>
  </si>
  <si>
    <t>Муниципальное бюджетное учреждение дополнительного образования Вахтанская детская музыкальная школа</t>
  </si>
  <si>
    <t>Юридический адрес</t>
  </si>
  <si>
    <t>606910,Нижегородская область,г.Шахунья,ул.Советская,д.15</t>
  </si>
  <si>
    <t>606912,Нижегородская область,г.Шахунья,ул.Чапаева,д.2А</t>
  </si>
  <si>
    <t>606913,Нижегородская область,г.Шахунья,д.Петрово,ул.Победы,д.4</t>
  </si>
  <si>
    <t>606368,Нижегородская область,г.Шахунья,с.Большое Широкое,ул.Широковская,д.8б</t>
  </si>
  <si>
    <t>606910,Нижегородская область,г.Шахунья,р.п.Вахтан,ул.Ленина,д.12</t>
  </si>
  <si>
    <t>606910,Нижегородская область,г.Шахунья,ул.Советская,д.37</t>
  </si>
  <si>
    <t>606910,Нижегородская облать,г.Шахунья,д.Большая Свеча,ул.Школьная,д.8</t>
  </si>
  <si>
    <t>606910,Нижегородская область,г.Шахунья,ул.Революционная,д.24</t>
  </si>
  <si>
    <t>606910,Нижегородская область,г.Шахунья,п.Лужайки,ул.Центральная,д.12</t>
  </si>
  <si>
    <t>606154,Нижегородская область,г.Шахунья,д.Туманино,ул.Молодёжная,д.8</t>
  </si>
  <si>
    <t>606921,Нижегородская область,г.Шахунья,с.Хмелевицы,ул.Горностаева,д.4</t>
  </si>
  <si>
    <t>606910,Нижегородская обалсть,г.Шахунь,ул.Черняховского,д.18</t>
  </si>
  <si>
    <t>606910,Нижегородская область,г.Шахунья,ул.Гагарина,д.8а</t>
  </si>
  <si>
    <t>606910,Нижегородская область,г.Шахунья,ул.Коминтерна,д.42а</t>
  </si>
  <si>
    <t>606900,Нижегородская область,г.Шахунья,рп.Вахтан,ул.Карповская,д.11</t>
  </si>
  <si>
    <t>606910,Нижегородская область,г.Шахунья,ул.Ленина,д.87А</t>
  </si>
  <si>
    <t>606910,Нижегородская область,г.Шахунья,ул.Попова,д.2б</t>
  </si>
  <si>
    <t>606903,Нижегородская область,г.Шахунья,рп.Сява,ул.Просвящения,д.24</t>
  </si>
  <si>
    <t>606910,Нижегородская область,г.Шахунья,ул.Свердлова,д.24</t>
  </si>
  <si>
    <t>606910,Нижегородская область,г.Шахунья,ул.Комсомольская,д.47а</t>
  </si>
  <si>
    <t>606910,Нижегородская область,г.Шахунья,ул.Коммунистическая,д.163</t>
  </si>
  <si>
    <t>606910,Нижегородская область,г.Шахунья,ул.Чапаева,д.1</t>
  </si>
  <si>
    <t>606903,Нижегородская область,г.Шахунья,с.Верховское,ул.Центральная,д.9</t>
  </si>
  <si>
    <t>606910,Нижегородская область,г.Шахунья,д.Красногор,ул.Центральная,д.9</t>
  </si>
  <si>
    <t>606910,Нижегородская область,г.Шахунья,ул.Комсомольская,д.5</t>
  </si>
  <si>
    <t>606766,Нижегородская область,г.Шахунья,п.Лужайки,ул.Школьная,д.1а</t>
  </si>
  <si>
    <t>606903,Нижегородская область,г.Шахунья,рп.Сява,ул.Просвящения,д.4а</t>
  </si>
  <si>
    <t>607823,Нижегородская область,г.Шахунья,с.Черное,ул.Молодежная,д.17</t>
  </si>
  <si>
    <t>606910,Нижегородская область,г.Шахунья,ул.Комсомольская,д.27</t>
  </si>
  <si>
    <t>606912,Нижегородская область,г.Шахунья,ул.Ленина,д.100</t>
  </si>
  <si>
    <t>606912,Нижегородская область,г.Шахунья,ул.Гагарина,д.15</t>
  </si>
  <si>
    <t>606921,Нижегородская область,г.Шахунья,с.Хмелевицы,ул.Автомобильная,д.1а</t>
  </si>
  <si>
    <t>606910,Нижегородская область,г.Шахунья,ул.Чапаева,д.1а</t>
  </si>
  <si>
    <t>606910,Нижегородская область,г.Шахунья,с.Хмелевицы,ул.Автомобильная,д.1а</t>
  </si>
  <si>
    <t>606903,Нижегородская область,г.Шахунья,рп.Сява,ул.Ленина,д.16</t>
  </si>
  <si>
    <t>606900,Нижегородская область,г.Шахунья,рп.Вахтан,ул.Маяковского,д.31</t>
  </si>
  <si>
    <t>606910,Нижегородская область,г.Шахунья,ул.Пасхина,д.4</t>
  </si>
  <si>
    <t>АУ/БУ</t>
  </si>
  <si>
    <t>БУ</t>
  </si>
  <si>
    <t>АУ</t>
  </si>
  <si>
    <t>ОКПО</t>
  </si>
  <si>
    <t>074</t>
  </si>
  <si>
    <t>учредитель</t>
  </si>
  <si>
    <t>487</t>
  </si>
  <si>
    <t>Протокол № ___________ от</t>
  </si>
  <si>
    <t>http://www.planetaexcel.ru/techniques/2/81/</t>
  </si>
  <si>
    <t>отрасль</t>
  </si>
  <si>
    <t>ЦБС</t>
  </si>
  <si>
    <t>музей</t>
  </si>
  <si>
    <t>МХШ</t>
  </si>
  <si>
    <t>благоустройство</t>
  </si>
  <si>
    <t>газета</t>
  </si>
  <si>
    <t>Детсад</t>
  </si>
  <si>
    <t>Школа</t>
  </si>
  <si>
    <t>Допобр</t>
  </si>
  <si>
    <t>вид отрасли</t>
  </si>
  <si>
    <t>М. П.</t>
  </si>
  <si>
    <t>поиск по отрасли</t>
  </si>
  <si>
    <t>поиск без отрасли</t>
  </si>
  <si>
    <t>КБК РФ</t>
  </si>
  <si>
    <t>косгу</t>
  </si>
  <si>
    <t>подпись</t>
  </si>
  <si>
    <t>должность</t>
  </si>
  <si>
    <t>руководитель</t>
  </si>
  <si>
    <t>Заведующий</t>
  </si>
  <si>
    <t>главбух</t>
  </si>
  <si>
    <t>Главный бухгалтер</t>
  </si>
  <si>
    <t>Смирнова Валентина Николаевна</t>
  </si>
  <si>
    <t>Директор</t>
  </si>
  <si>
    <t>Усилина Татьяна Ефимовна</t>
  </si>
  <si>
    <t>Смирнова Ольга Владимировна</t>
  </si>
  <si>
    <t>Ложкина Людмила Алексеевна</t>
  </si>
  <si>
    <t>Корпусова Елена Аркадьевна</t>
  </si>
  <si>
    <t>Грушина Галина Валериевна</t>
  </si>
  <si>
    <t>Киселев Олег Александрович</t>
  </si>
  <si>
    <t>Ветюгова Жанна Евгеньевна</t>
  </si>
  <si>
    <t>Шарыгина Ольга Валерьевна</t>
  </si>
  <si>
    <t>Смирнова Валентина Николаевнан</t>
  </si>
  <si>
    <t>Подузова Надежда Павловна</t>
  </si>
  <si>
    <t>Каргапольцева Татьяна Владимировна</t>
  </si>
  <si>
    <t>Бровкина Татьяна Николаевна</t>
  </si>
  <si>
    <t>Бухгалтер</t>
  </si>
  <si>
    <t>Кузнецова Галина Михайловна</t>
  </si>
  <si>
    <t>Прудкова Светлана Викторовна</t>
  </si>
  <si>
    <t>Оносова Любовь Сергеевна</t>
  </si>
  <si>
    <t>Торопова Любовь Анатольевна</t>
  </si>
  <si>
    <t>Зимина Ирина Васильевна</t>
  </si>
  <si>
    <t>Костерова Татьяна Ивановна</t>
  </si>
  <si>
    <t>Хачидзе Ираида Николаевна</t>
  </si>
  <si>
    <t>Шустина Наталья Николаевна</t>
  </si>
  <si>
    <t>Гребышева Марина Генриховна</t>
  </si>
  <si>
    <t>Смирнова Татьяна Николаевна</t>
  </si>
  <si>
    <t>Тихомирова Римма Николаевна</t>
  </si>
  <si>
    <t>Перминова Елена Павловна</t>
  </si>
  <si>
    <t>Чипак Ирина Николаевна</t>
  </si>
  <si>
    <t>Жолик Татьяна Валерьевна</t>
  </si>
  <si>
    <t>Растопина Ирина Анатольевна</t>
  </si>
  <si>
    <t>Талялева Наталья Александровна</t>
  </si>
  <si>
    <t>Козырева Ирина Валерьевна</t>
  </si>
  <si>
    <t>223D0050</t>
  </si>
  <si>
    <t>КВР расходы</t>
  </si>
  <si>
    <t>Ан. группа доходы</t>
  </si>
  <si>
    <t>КФСР</t>
  </si>
  <si>
    <t>0701</t>
  </si>
  <si>
    <t>0702</t>
  </si>
  <si>
    <t>0703</t>
  </si>
  <si>
    <t>0503</t>
  </si>
  <si>
    <t>0409</t>
  </si>
  <si>
    <t>0505</t>
  </si>
  <si>
    <t>0801</t>
  </si>
  <si>
    <t>1102</t>
  </si>
  <si>
    <t>1202</t>
  </si>
  <si>
    <t>0409 0502 0503 0505</t>
  </si>
  <si>
    <t>номер строки</t>
  </si>
  <si>
    <t>Малышева Наталья Вячеславовна</t>
  </si>
  <si>
    <t>Секерина Наталья Вячеславовна</t>
  </si>
  <si>
    <t>культура</t>
  </si>
  <si>
    <t>спорт</t>
  </si>
  <si>
    <t>скрыть листы с данными по КБК и учреждениям http://www.planetaexcel.ru/techniques/5/65/</t>
  </si>
  <si>
    <t>1.1</t>
  </si>
  <si>
    <t>1.2</t>
  </si>
  <si>
    <t>1.3</t>
  </si>
  <si>
    <t>2</t>
  </si>
  <si>
    <t>3</t>
  </si>
  <si>
    <t>Х</t>
  </si>
  <si>
    <t xml:space="preserve"> Директор</t>
  </si>
  <si>
    <t>Христолюбова Татьяна Александровна</t>
  </si>
  <si>
    <t>Соломина Тамара Аркадьевна</t>
  </si>
  <si>
    <t>Муниципальное казенное учреждение культуры "Центр организационно-методической работы учреждений культуры городского округа город Шахунья Нижегородской области"</t>
  </si>
  <si>
    <t>057</t>
  </si>
  <si>
    <t>223D0818</t>
  </si>
  <si>
    <t>223D0820</t>
  </si>
  <si>
    <t>223D0824</t>
  </si>
  <si>
    <t>223D0821</t>
  </si>
  <si>
    <t>223D0828</t>
  </si>
  <si>
    <t>223D0826</t>
  </si>
  <si>
    <t>223D0823</t>
  </si>
  <si>
    <t>223D0830</t>
  </si>
  <si>
    <t>Паратова Наталья Евгеньевна</t>
  </si>
  <si>
    <t>Комарова Наталья Александровна</t>
  </si>
  <si>
    <t>Исполняющий обязанности директора</t>
  </si>
  <si>
    <t>Спиридонова Светлана Павловна</t>
  </si>
  <si>
    <t>Управление по работе с территориями и благоустройству администрации городского округа город Шахунья Нижегородской области</t>
  </si>
  <si>
    <t>488</t>
  </si>
  <si>
    <t>Заместитель Главы администрации городского округа город Шахунья</t>
  </si>
  <si>
    <t>должность учредителя</t>
  </si>
  <si>
    <t>ИОФ учредителя</t>
  </si>
  <si>
    <t>47055020</t>
  </si>
  <si>
    <t>Сорокина Алена Владимировна</t>
  </si>
  <si>
    <t>32030705</t>
  </si>
  <si>
    <t>25708556</t>
  </si>
  <si>
    <t>89871414</t>
  </si>
  <si>
    <t>47054049</t>
  </si>
  <si>
    <t>47054032</t>
  </si>
  <si>
    <t>05254426</t>
  </si>
  <si>
    <t>47054227</t>
  </si>
  <si>
    <t>50338017</t>
  </si>
  <si>
    <t>50333770</t>
  </si>
  <si>
    <t>47054109</t>
  </si>
  <si>
    <t>47054115</t>
  </si>
  <si>
    <t>43039685</t>
  </si>
  <si>
    <t>47054182</t>
  </si>
  <si>
    <t>52467664</t>
  </si>
  <si>
    <t>47054121</t>
  </si>
  <si>
    <t>47054210</t>
  </si>
  <si>
    <t>52467670</t>
  </si>
  <si>
    <t>39234837</t>
  </si>
  <si>
    <t>47054084</t>
  </si>
  <si>
    <t>39234547</t>
  </si>
  <si>
    <t>39234702</t>
  </si>
  <si>
    <t>39234783</t>
  </si>
  <si>
    <t>43014975</t>
  </si>
  <si>
    <t>05255070</t>
  </si>
  <si>
    <t>39234622</t>
  </si>
  <si>
    <t>02452189</t>
  </si>
  <si>
    <t>47054018</t>
  </si>
  <si>
    <t>57187892</t>
  </si>
  <si>
    <t>58271608</t>
  </si>
  <si>
    <t>05254432</t>
  </si>
  <si>
    <t>55086891</t>
  </si>
  <si>
    <t>05254538</t>
  </si>
  <si>
    <t>58271583</t>
  </si>
  <si>
    <t>Березина Елена Александровна</t>
  </si>
  <si>
    <t>МБУК " ЦБС - городского округа город Шахунья"</t>
  </si>
  <si>
    <t>606910,Нижегородская область,г.Шахунья,ул.Гагарина,д.21а</t>
  </si>
  <si>
    <t>Управление образования администрации городского округа город Шахунья Нижегородской области</t>
  </si>
  <si>
    <t>Мухаматчин Рифат Петрович</t>
  </si>
  <si>
    <t>Кондрашова Галина Викторовна</t>
  </si>
  <si>
    <t>Бровкина Татьяна Сергеевна</t>
  </si>
  <si>
    <t>Ложкина Анна Олеговна</t>
  </si>
  <si>
    <t>Яровиков Андрей Витальевич</t>
  </si>
  <si>
    <t>Яровикова Татьяна Алексеевна</t>
  </si>
  <si>
    <t>Дербенев Николай Алексеевич</t>
  </si>
  <si>
    <t>Исполняющий обязанности заведующего</t>
  </si>
  <si>
    <t>Питилимова Татьяна Александровна</t>
  </si>
  <si>
    <t>Раздел 1. Поступления и выплаты</t>
  </si>
  <si>
    <t>за пределами планового периода</t>
  </si>
  <si>
    <t>1.4</t>
  </si>
  <si>
    <t>1.4.1</t>
  </si>
  <si>
    <t>1.4.1.1</t>
  </si>
  <si>
    <t>1.4.1.2</t>
  </si>
  <si>
    <t>1.4.2</t>
  </si>
  <si>
    <t>1.4.2.1</t>
  </si>
  <si>
    <t>1.4.2.2</t>
  </si>
  <si>
    <t>1.4.3</t>
  </si>
  <si>
    <t>1.4.5</t>
  </si>
  <si>
    <t>за счет прочих источников финансового обеспечения</t>
  </si>
  <si>
    <t>1.4.5.1</t>
  </si>
  <si>
    <t>1.4.5.2</t>
  </si>
  <si>
    <t>в том числе по году начала закупки:</t>
  </si>
  <si>
    <t>ДОХОДЫ</t>
  </si>
  <si>
    <t>Принудительное изъятие</t>
  </si>
  <si>
    <t>Безвозмездные поступления</t>
  </si>
  <si>
    <t>ОСТАТОК НА НАЧАЛО</t>
  </si>
  <si>
    <t>ОСТАТОК НА КОНЕЦ</t>
  </si>
  <si>
    <t>РАСХОДЫ</t>
  </si>
  <si>
    <t>Выплаты персоналу</t>
  </si>
  <si>
    <t>КОД</t>
  </si>
  <si>
    <t>оплата труда</t>
  </si>
  <si>
    <t>прочие выплаты</t>
  </si>
  <si>
    <t>иные выплаты</t>
  </si>
  <si>
    <t>Соцвыплаты населению</t>
  </si>
  <si>
    <t>Суденые решения</t>
  </si>
  <si>
    <t>Налоги, сборы, платежи</t>
  </si>
  <si>
    <t>недвижимость</t>
  </si>
  <si>
    <t>ниокр</t>
  </si>
  <si>
    <t>прочие закупки</t>
  </si>
  <si>
    <t>=И((ИНДЕКС($A$6:$A$301;ПОИСКПОЗ(A6;$A$6:$A$301;0)))&lt;&gt;"";E6&gt;0)</t>
  </si>
  <si>
    <t>=И((ИНДЕКС($A$6:$A$301;ПОИСКПОЗ(A6;$A$6:$A$301;0)))&lt;&gt;"")</t>
  </si>
  <si>
    <t>проверка данных года E6</t>
  </si>
  <si>
    <t>проверка данных изменение I6</t>
  </si>
  <si>
    <t>иные цели</t>
  </si>
  <si>
    <t>взносы на</t>
  </si>
  <si>
    <t>выплата стипендий</t>
  </si>
  <si>
    <t>гранты гражданам</t>
  </si>
  <si>
    <t>обеспечение сирот</t>
  </si>
  <si>
    <t>Раздел 2. Сведения по выплатам на закупки товаров, работ, услуг</t>
  </si>
  <si>
    <t>Выплаты на закупку товаров, работ, услуг, всего</t>
  </si>
  <si>
    <t>по контрактам заключаемым до начала текущего года с учетом 44-ФЗ, 223-ФЗ</t>
  </si>
  <si>
    <t>по контрактам заключаемым в соответствующем году с учетом 44-ФЗ 223-ФЗ</t>
  </si>
  <si>
    <t>за счет субсидий на муниципальное задание</t>
  </si>
  <si>
    <t>за счет субсидий на иные цели</t>
  </si>
  <si>
    <t>Итого по контрактам, заключаемым в соответствующем году в соответствии с 44-ФЗ</t>
  </si>
  <si>
    <t>Итого по договорам, заключаемым в соответствующем году в соответствии с 223-ФЗ</t>
  </si>
  <si>
    <t>Прочие доходы</t>
  </si>
  <si>
    <t>целевые субсидии</t>
  </si>
  <si>
    <t>Операции с активами</t>
  </si>
  <si>
    <t>От собственности</t>
  </si>
  <si>
    <t>От оказания услуг, работ</t>
  </si>
  <si>
    <t>компенсация 000000135.130.0</t>
  </si>
  <si>
    <t>капвложения</t>
  </si>
  <si>
    <t>Капвложения</t>
  </si>
  <si>
    <t>приобретение</t>
  </si>
  <si>
    <t>строительство</t>
  </si>
  <si>
    <t>ПРОЧИЕ ВЫПЛАТЫ</t>
  </si>
  <si>
    <t>возврат субсидий</t>
  </si>
  <si>
    <t>капремонт</t>
  </si>
  <si>
    <t>Исполнитель</t>
  </si>
  <si>
    <t>расшифровка подписи</t>
  </si>
  <si>
    <t>доходы 0000000131.510.0</t>
  </si>
  <si>
    <t>доходы 0000000131.130.0</t>
  </si>
  <si>
    <t>доходы 0000000131.111.0</t>
  </si>
  <si>
    <t>доходы 0000000131.112.0</t>
  </si>
  <si>
    <t>доходы 0000000131.119.0</t>
  </si>
  <si>
    <t>доходы 0000000131.244.0</t>
  </si>
  <si>
    <t>доходы 0000000131.244.В</t>
  </si>
  <si>
    <t>доходы 0000000131.360.0</t>
  </si>
  <si>
    <t>доходы 0000000131.851.0</t>
  </si>
  <si>
    <t>доходы 0000000131.852.0</t>
  </si>
  <si>
    <t>доходы 0000000131.853.0</t>
  </si>
  <si>
    <t>доходы 0000000131.321.0</t>
  </si>
  <si>
    <t>доходы 0000000131.831.0</t>
  </si>
  <si>
    <t>доходы 0000000131.113.0</t>
  </si>
  <si>
    <t>временно 0000000003.510.0</t>
  </si>
  <si>
    <t>временно 0000000003.610.0</t>
  </si>
  <si>
    <t>спонсор 0000000155.510.0</t>
  </si>
  <si>
    <t>спонсор 0000000155.150.0</t>
  </si>
  <si>
    <t>спонсор 0000000155.244.0</t>
  </si>
  <si>
    <t>спонсор 0000000155.350.0</t>
  </si>
  <si>
    <t>спонсор 0000000155.853.0</t>
  </si>
  <si>
    <t>аренда 0000000121.510.0</t>
  </si>
  <si>
    <t>аренда 0000000121.120.0</t>
  </si>
  <si>
    <t>аренда 0000000121.244.0</t>
  </si>
  <si>
    <t>детсад 0110120590.510.0</t>
  </si>
  <si>
    <t>детсад 0110120590.130.0</t>
  </si>
  <si>
    <t>детсад 0110120590.111.0</t>
  </si>
  <si>
    <t>детсад 0110120590.112.0</t>
  </si>
  <si>
    <t>детсад 0110120590.113.0</t>
  </si>
  <si>
    <t>детсад 0110120590.119.0</t>
  </si>
  <si>
    <t>детсад 0110120590.244.0</t>
  </si>
  <si>
    <t>детсад 0110120590.244.В</t>
  </si>
  <si>
    <t>детсад 0110120590.831.0</t>
  </si>
  <si>
    <t>детсад 0110120590.851.0</t>
  </si>
  <si>
    <t>детсад 0110120590.852.0</t>
  </si>
  <si>
    <t>детсад 0110120590.853.0</t>
  </si>
  <si>
    <t>детсад обл 0110173080.510.0</t>
  </si>
  <si>
    <t>детсад обл 0110173080.130.0</t>
  </si>
  <si>
    <t>детсад обл 0110173080.111.0</t>
  </si>
  <si>
    <t>детсад обл 0110173080.112.0</t>
  </si>
  <si>
    <t>детсад обл 0110173080.119.0</t>
  </si>
  <si>
    <t>детсад обл 0110173080.244.0</t>
  </si>
  <si>
    <t>детсад з/п 01101S2090.510.0</t>
  </si>
  <si>
    <t>детсад з/п 01101S2090.130.0</t>
  </si>
  <si>
    <t>детсад з/п 01101S2090.111.0</t>
  </si>
  <si>
    <t>детсад з/п 01101S2090.119.0</t>
  </si>
  <si>
    <t>школа 0110221590.510.0</t>
  </si>
  <si>
    <t>школа 0110221590.130.0</t>
  </si>
  <si>
    <t>школа 0110221590.111.0</t>
  </si>
  <si>
    <t>школа 0110221590.119.0</t>
  </si>
  <si>
    <t>школа 0110221590.112.0</t>
  </si>
  <si>
    <t>школа 0110221590.244.0</t>
  </si>
  <si>
    <t>школа 0110221590.244.В</t>
  </si>
  <si>
    <t>школа 0110221590.244.1</t>
  </si>
  <si>
    <t>школа 0110221590.831.0</t>
  </si>
  <si>
    <t>школа 0110221590.851.0</t>
  </si>
  <si>
    <t>школа 0110221590.852.0</t>
  </si>
  <si>
    <t>школа 0110221590.853.0</t>
  </si>
  <si>
    <t>школа обл 0110273070.510.0</t>
  </si>
  <si>
    <t>школа обл 0110273070.130.0</t>
  </si>
  <si>
    <t>школа обл 0110273070.111.0</t>
  </si>
  <si>
    <t>школа обл 0110273070.112.0</t>
  </si>
  <si>
    <t>школа обл 0110273070.113.0</t>
  </si>
  <si>
    <t>школа обл 0110273070.119.0</t>
  </si>
  <si>
    <t>школа обл 0110273070.244.0</t>
  </si>
  <si>
    <t>школа з/п 01102S2090.130.0</t>
  </si>
  <si>
    <t>школа з/п 01102S2090.111.0</t>
  </si>
  <si>
    <t>школа з/п 01102S2090.119.0</t>
  </si>
  <si>
    <t>допобр 0120123590.510.0</t>
  </si>
  <si>
    <t>допобр 0120123590.130.0</t>
  </si>
  <si>
    <t>допобр 0120123590.111.0</t>
  </si>
  <si>
    <t>допобр 0120123590.112.0</t>
  </si>
  <si>
    <t>допобр 0120123590.113.0</t>
  </si>
  <si>
    <t>допобр 0120123590.119.0</t>
  </si>
  <si>
    <t>допобр 0120123590.244.0</t>
  </si>
  <si>
    <t>допобр 0120123590.244.В</t>
  </si>
  <si>
    <t>допобр 0120123590.851.0</t>
  </si>
  <si>
    <t>допобр 0120123590.852.0</t>
  </si>
  <si>
    <t>допобр 0120123590.853.0</t>
  </si>
  <si>
    <t>допобр з/п 01201S2090.510.0</t>
  </si>
  <si>
    <t>допобр з/п 01201S2090.130.0</t>
  </si>
  <si>
    <t>допобр з/п 01201S2090.111.0</t>
  </si>
  <si>
    <t>допобр з/п 01201S2090.119.0</t>
  </si>
  <si>
    <t>учащийся 0120823590.130.0</t>
  </si>
  <si>
    <t>учащийся 0120823590.111.0</t>
  </si>
  <si>
    <t>учащийся 0120823590.119.0</t>
  </si>
  <si>
    <t xml:space="preserve"> учащийся 0120823590.244.0</t>
  </si>
  <si>
    <t>учащийся 0120823590.111.</t>
  </si>
  <si>
    <t>учащийся 0120823590.244.0</t>
  </si>
  <si>
    <t>освещение 0500225010.510.0</t>
  </si>
  <si>
    <t>освещение 0500225010.130.0</t>
  </si>
  <si>
    <t>освещение 0500225010.111.0</t>
  </si>
  <si>
    <t>освещение 0500225010.119.0</t>
  </si>
  <si>
    <t>освещение 0500225010.244.0</t>
  </si>
  <si>
    <t>дороги 0500302030.510.0</t>
  </si>
  <si>
    <t>дороги 0500302030.130.0</t>
  </si>
  <si>
    <t>дороги 0500302030.111.0</t>
  </si>
  <si>
    <t>дороги 0500302030.119.0</t>
  </si>
  <si>
    <t>дороги 0500302030.244.0</t>
  </si>
  <si>
    <t>захоронения 0500625040.510.0</t>
  </si>
  <si>
    <t>захоронения 0500625040.130.0</t>
  </si>
  <si>
    <t>захоронения 0500625040.111.0</t>
  </si>
  <si>
    <t>захоронения 0500625040.119.0</t>
  </si>
  <si>
    <t>захоронения 0500625040.244.0</t>
  </si>
  <si>
    <t>озеленение 0500725030.510.0</t>
  </si>
  <si>
    <t>озеленение 0500725030.130.0</t>
  </si>
  <si>
    <t>озеленение 0500725030.111.0</t>
  </si>
  <si>
    <t>озеленение 0500725030.119.0</t>
  </si>
  <si>
    <t>озеленение 0500725030.244.0</t>
  </si>
  <si>
    <t>территории 0500825050.510.0</t>
  </si>
  <si>
    <t>территории 0500825050.130.0</t>
  </si>
  <si>
    <t>территории 0500825050.111.0</t>
  </si>
  <si>
    <t>территории 0500825050.119.0</t>
  </si>
  <si>
    <t>территории 0500825050.244.0</t>
  </si>
  <si>
    <t>благоустройство 0500900590.510.0</t>
  </si>
  <si>
    <t>благоустройство 0500900590.130.0</t>
  </si>
  <si>
    <t>благоустройство 0500900590.111.0</t>
  </si>
  <si>
    <t>благоустройство 0500900590.112.0</t>
  </si>
  <si>
    <t>благоустройство 0500900590.119.0</t>
  </si>
  <si>
    <t>благоустройство 0500900590.244.0</t>
  </si>
  <si>
    <t>благоустройство 0500900590.244.В</t>
  </si>
  <si>
    <t>благоустройство 0500900590.321.0</t>
  </si>
  <si>
    <t>благоустройство 0500900590.851.0</t>
  </si>
  <si>
    <t>благоустройство 0500900590.852.0</t>
  </si>
  <si>
    <t>благоустройство 0500900590.853.0</t>
  </si>
  <si>
    <t>дорожный фонд 1200102030.510.0</t>
  </si>
  <si>
    <t>дорожный фонд 1200102030.130.0</t>
  </si>
  <si>
    <t>дорожный фонд 1200102030.244.0</t>
  </si>
  <si>
    <t>МХШ 0820323590.510.0</t>
  </si>
  <si>
    <t>МХШ 0820323590.130.0</t>
  </si>
  <si>
    <t>МХШ 0820323590.111.0</t>
  </si>
  <si>
    <t>МХШ 0820323590.112.0</t>
  </si>
  <si>
    <t>МХШ 0820323590.119.0</t>
  </si>
  <si>
    <t>МХШ 0820323590.244.0</t>
  </si>
  <si>
    <t>МХШ 0820323590.244.В</t>
  </si>
  <si>
    <t>МХШ 0820323590.851.0</t>
  </si>
  <si>
    <t>МХШ 0820323590.853.0</t>
  </si>
  <si>
    <t>МХШ з/п 08203S2090.510.0</t>
  </si>
  <si>
    <t>МХШ з/п 08203S2090.130.0</t>
  </si>
  <si>
    <t>МХШ з/п 08203S2090.111.0</t>
  </si>
  <si>
    <t>МХШ з/п 08203S2090.119.0</t>
  </si>
  <si>
    <t>ЦБС 0830542590.510.0</t>
  </si>
  <si>
    <t>ЦБС 0830542590.130.0</t>
  </si>
  <si>
    <t>ЦБС 0830542590.111.0</t>
  </si>
  <si>
    <t>ЦБС 0830542590.112.0</t>
  </si>
  <si>
    <t>ЦБС 0830542590.119.0</t>
  </si>
  <si>
    <t>ЦБС 0830542590.244.0</t>
  </si>
  <si>
    <t>ЦБС 0830542590.244.В</t>
  </si>
  <si>
    <t>ЦБС 0830542590.831.0</t>
  </si>
  <si>
    <t>ЦБС 0830542590.851.0</t>
  </si>
  <si>
    <t>ЦБС 0830542590.852.0</t>
  </si>
  <si>
    <t>ЦБС 0830542590.853.0</t>
  </si>
  <si>
    <t>ЦБС з/п 08305S2090.510.0</t>
  </si>
  <si>
    <t>ЦБС з/п 08305S2090.130.0</t>
  </si>
  <si>
    <t>ЦБС з/п 08305S2090.111.0</t>
  </si>
  <si>
    <t>ЦБС з/п 08305S2090.119.0</t>
  </si>
  <si>
    <t>музей 0840341590.510.0</t>
  </si>
  <si>
    <t>музей 0840341590.130.0</t>
  </si>
  <si>
    <t>музей 0840341590.111.0</t>
  </si>
  <si>
    <t>музей 0840341590.112.0</t>
  </si>
  <si>
    <t>музей 0840341590.119.0</t>
  </si>
  <si>
    <t>музей 0840341590.244.0</t>
  </si>
  <si>
    <t>музей 0840341590.244.В</t>
  </si>
  <si>
    <t>музей 0840341590.851.0</t>
  </si>
  <si>
    <t>музей 0840341590.853.0</t>
  </si>
  <si>
    <t>музей з/п 08403S2090.510.0</t>
  </si>
  <si>
    <t>музей з/п 08403S2090.130.0</t>
  </si>
  <si>
    <t>музей з/п 08403S2090.111.0</t>
  </si>
  <si>
    <t>музей з/п 08403S2090.119.0</t>
  </si>
  <si>
    <t>культура 0850640590.510.0</t>
  </si>
  <si>
    <t>культура 0850640590.130.0</t>
  </si>
  <si>
    <t>культура 0850640590.111.0</t>
  </si>
  <si>
    <t>культура 0850640590.112.0</t>
  </si>
  <si>
    <t>культура 0850640590.119.0</t>
  </si>
  <si>
    <t>культура 0850640590.244.0</t>
  </si>
  <si>
    <t>культура 0850640590.244.В</t>
  </si>
  <si>
    <t>культура 0850640590.831.0</t>
  </si>
  <si>
    <t>культура 0850640590.851.0</t>
  </si>
  <si>
    <t>культура 0850640590.852.0</t>
  </si>
  <si>
    <t>культура 0850640590.853.0</t>
  </si>
  <si>
    <t>культура з/п 08506S2090.510.0</t>
  </si>
  <si>
    <t>культура з/п 08506S2090.130.0</t>
  </si>
  <si>
    <t>культура з/п 08506S2090.111.0</t>
  </si>
  <si>
    <t>культура з/п 08506S2090.119.0</t>
  </si>
  <si>
    <t>спорт 1130387590.510.0</t>
  </si>
  <si>
    <t>спорт 1130387590.130.0</t>
  </si>
  <si>
    <t>спорт 1130387590.111.0</t>
  </si>
  <si>
    <t>спорт 1130387590.112.0</t>
  </si>
  <si>
    <t>спорт 1130387590.113.0</t>
  </si>
  <si>
    <t>спорт 1130387590.119.0</t>
  </si>
  <si>
    <t>спорт 1130387590.244.0</t>
  </si>
  <si>
    <t>спорт 1130387590.244.В</t>
  </si>
  <si>
    <t>спорт 1130387590.851.0</t>
  </si>
  <si>
    <t>спорт 1130387590.852.0</t>
  </si>
  <si>
    <t>спорт 1130387590.853.0</t>
  </si>
  <si>
    <t>спорт з/п 11303S2090.510.0</t>
  </si>
  <si>
    <t>спорт з/п 11303S2090.130.0</t>
  </si>
  <si>
    <t>спорт з/п 11303S2090.111.0</t>
  </si>
  <si>
    <t>спорт з/п 11303S2090.119.0</t>
  </si>
  <si>
    <t>газета обл 77706S2050.510.0</t>
  </si>
  <si>
    <t>газета обл 77706S2050.130.0</t>
  </si>
  <si>
    <t>газета обл 77706S2050.111.0</t>
  </si>
  <si>
    <t>газета обл 77706S2050.119.0</t>
  </si>
  <si>
    <t>газета обл 77706S2050.244.0</t>
  </si>
  <si>
    <t>газета 77707S2050.000.0</t>
  </si>
  <si>
    <t>газета 77707S2050.130.0</t>
  </si>
  <si>
    <t>газета 77707S2050.111.0</t>
  </si>
  <si>
    <t>газета 77707S2050.119.0</t>
  </si>
  <si>
    <t>газета 77707S2050.244.0</t>
  </si>
  <si>
    <t>показатели</t>
  </si>
  <si>
    <t>на заполнение</t>
  </si>
  <si>
    <t>Доходы+изменение=0</t>
  </si>
  <si>
    <t>Расходы+изменение=0</t>
  </si>
  <si>
    <t>Или</t>
  </si>
  <si>
    <t xml:space="preserve"> Доходы расходы изменение не равно 0</t>
  </si>
  <si>
    <t>Если</t>
  </si>
  <si>
    <t>Доходы больше 0</t>
  </si>
  <si>
    <t>Расходы больше 0</t>
  </si>
  <si>
    <t>Доходы+остаток на начало=расходы</t>
  </si>
  <si>
    <t>на верность данных</t>
  </si>
  <si>
    <t>EK</t>
  </si>
  <si>
    <t>FL</t>
  </si>
  <si>
    <t>GM</t>
  </si>
  <si>
    <t>Остаток на конец года+поступления+измение поступлений=расходы+изменение поступлений</t>
  </si>
  <si>
    <t>должность главбуха</t>
  </si>
  <si>
    <t>ИОФ главбуха</t>
  </si>
  <si>
    <t>Ведущий бухгалтер</t>
  </si>
  <si>
    <t>Багерян Алена Гилимзяновна</t>
  </si>
  <si>
    <t>Софронов Юрий Алексеевич</t>
  </si>
  <si>
    <t>Кузнецов Александр Геннадьевич</t>
  </si>
  <si>
    <t>Начальник управления образования</t>
  </si>
  <si>
    <t>аренда 0000000121.180.0</t>
  </si>
  <si>
    <t>аренда 0000000121.853.0</t>
  </si>
  <si>
    <t>доходы 0000000131.180.0</t>
  </si>
  <si>
    <t>детсад 0110120590.243.0</t>
  </si>
  <si>
    <t>И. О. заведующего</t>
  </si>
  <si>
    <t>0113</t>
  </si>
  <si>
    <t>606910,Нижегородская область,г.Шахунья,ул.Советская,д.26</t>
  </si>
  <si>
    <t>дебиторская задолженность</t>
  </si>
  <si>
    <t>проверка колонок изменения</t>
  </si>
  <si>
    <t>1.условие - есть показатель</t>
  </si>
  <si>
    <t>2.условие нельзя менять больше запланированного</t>
  </si>
  <si>
    <t>=И((ИНДЕКС($A$6:$A$329;ПОИСКПОЗ(A19;$A$6:$A$329;0)))&lt;&gt;"";J19+M19&gt;=0)</t>
  </si>
  <si>
    <t>нет проверки изменений</t>
  </si>
  <si>
    <t>С МИНУСОМ</t>
  </si>
  <si>
    <t>катафалк 7770426000.130.0</t>
  </si>
  <si>
    <t>катафалк 7770426000.244.0</t>
  </si>
  <si>
    <t>1.3.1</t>
  </si>
  <si>
    <t>1.3.2</t>
  </si>
  <si>
    <t>по 223-ФЗ</t>
  </si>
  <si>
    <t>26310.1</t>
  </si>
  <si>
    <t>26421.1</t>
  </si>
  <si>
    <t>26451.1</t>
  </si>
  <si>
    <t>КЦСР</t>
  </si>
  <si>
    <t>4 РАЗРЯД КЦСР СОДЕЖРИТ</t>
  </si>
  <si>
    <t>ADEFGILNPRSTV</t>
  </si>
  <si>
    <t xml:space="preserve">КОСГУ </t>
  </si>
  <si>
    <t>название субсидии</t>
  </si>
  <si>
    <t>Отр. коды ИЦ</t>
  </si>
  <si>
    <t>выборка из листа КБК</t>
  </si>
  <si>
    <t>ПРОВЕКИ</t>
  </si>
  <si>
    <t>выборка из списка показатели</t>
  </si>
  <si>
    <t>выбор по 2 КОСГУ 152+162</t>
  </si>
  <si>
    <t>{"A";"D";"E";"F";"G";"I";"L";"N";"P";"R";"S";"T";"V"}</t>
  </si>
  <si>
    <t>26310.2</t>
  </si>
  <si>
    <t>26421.2</t>
  </si>
  <si>
    <t>Ф</t>
  </si>
  <si>
    <t>по 44-ФЗ, из них на нацпроекты</t>
  </si>
  <si>
    <t>НАЦ. ПРОЕКТ ADEFGILNPRSTV</t>
  </si>
  <si>
    <t>ОФОРМЛЕНИЯ</t>
  </si>
  <si>
    <t>ЕСЛИОШИБКА(ИНДЕКС($E$4:$E$454;НАИМЕНЬШИЙ(ЕСЛИ((($H$2=$F$4:$F$454)*($H$3=$G$4:$G$454));СТРОКА($E$4:$E$454)-3;"");СТРОКА()-3));"")</t>
  </si>
  <si>
    <t>ЕСЛИОШИБКА(ИНДЕКС($E$4:$E$455;НАИМЕНЬШИЙ(ЕСЛИ((($H$2=$F$4:$F$455)*($H$3=$G$4:$G$455)*(НЕ(ЕОШ(ПОИСК('Стр.3-9'!$K$1;$D$4:$D$455)))));СТРОКА($E$4:$E$455)-3;"");СТРОКА()-3));"")</t>
  </si>
  <si>
    <t>ссылка</t>
  </si>
  <si>
    <t>НАЦПРОЕКТЫ для 2 раздела</t>
  </si>
  <si>
    <t>№ п/п</t>
  </si>
  <si>
    <t>Коды строк</t>
  </si>
  <si>
    <t>Год начала закупки</t>
  </si>
  <si>
    <t>26310.3</t>
  </si>
  <si>
    <t>26421.3</t>
  </si>
  <si>
    <t>26451.2</t>
  </si>
  <si>
    <t>26451.3</t>
  </si>
  <si>
    <t>по контрактам, заключенным до начала текущего года без учета 44-ФЗ 223-ФЗ</t>
  </si>
  <si>
    <t>по контрактам заключаемыми в соответствующем году без учета 44-ФЗ 223-ФЗ</t>
  </si>
  <si>
    <t>по 44-ФЗ</t>
  </si>
  <si>
    <t>https://www.planetaexcel.ru/techniques/2/92/</t>
  </si>
  <si>
    <t>простой поиск подстановка сумм по нацпроектам</t>
  </si>
  <si>
    <t>за счет субсидий на капвложения, их них на нацпроекты</t>
  </si>
  <si>
    <t>26430.1</t>
  </si>
  <si>
    <t>26430.2</t>
  </si>
  <si>
    <t>26430.3</t>
  </si>
  <si>
    <t>ПОИСК БУ ИЛИ АУ</t>
  </si>
  <si>
    <t>ДЛЯ 44-ФЗ</t>
  </si>
  <si>
    <t>ЕСЛИ(ИНДЕКС(УЧРЕЖДЕНИЯ!A14:M54;ПОИСКПОЗ(ТИТУЛ!CO18;УЧРЕЖДЕНИЯ!$C$14:$C$54;0);9)="АУ";1;0)</t>
  </si>
  <si>
    <t>ПОИСК КОДОВ СУБСИДИЙ</t>
  </si>
  <si>
    <t>ПО 152 И 162 КОСГУ</t>
  </si>
  <si>
    <t>ЕСЛИОШИБКА(ИНДЕКС(КБК!E863:E967;НАИМЕНЬШИЙ(ЕСЛИ((((152=КБК!F863:F967)+(162=КБК!F863:F967))*("Ф"=КБК!I863:I967)*(НЕ(ЕОШ(ПОИСК(ПОКАЗАТЕЛИ!$N$1;КБК!D863:D967)))));СТРОКА(КБК!E863:E967)-КБК!A862;"");СТРОКА()-$J$8));"")</t>
  </si>
  <si>
    <t>ПО 162 косгу ПО 44-ФЗ БУ и АУ</t>
  </si>
  <si>
    <t>ПО 152 косгу только БУ</t>
  </si>
  <si>
    <t>поиск бу ил ау</t>
  </si>
  <si>
    <t>ЕСЛИ(ИНДЕКС(УЧРЕЖДЕНИЯ!A14:M54;ПОИСКПОЗ(ТИТУЛ!CO18;УЧРЕЖДЕНИЯ!$C$14:$C$54;0);9)="БУ";1;"*")</t>
  </si>
  <si>
    <t>общий поиск кодов субсидий</t>
  </si>
  <si>
    <t>ЕСЛИОШИБКА(ИНДЕКС(КБК!E863:E967;НАИМЕНЬШИЙ(ЕСЛИ(((152=КБК!F863:F967)*("Ф"=КБК!I863:I967)*(НЕ(ЕОШ(ПОИСК(ПОКАЗАТЕЛИ!$N$1;КБК!D863:D967)))));СТРОКА(КБК!E863:E967)-КБК!A862;"");СТРОКА()-$J$18));"")</t>
  </si>
  <si>
    <t>ЕСЛИОШИБКА(ИНДЕКС(КБК!E863:E967;НАИМЕНЬШИЙ(ЕСЛИ(((162=КБК!F863:F967)*("Ф"=КБК!I863:I967)*(НЕ(ЕОШ(ПОИСК(ПОКАЗАТЕЛИ!$N$1;КБК!D863:D967)))));СТРОКА(КБК!E863:E967)-КБК!A862;"");СТРОКА()-$J$18));"")</t>
  </si>
  <si>
    <t>все нацпроекты отрасли</t>
  </si>
  <si>
    <t>1.4.5.1 включить поиск по косгу прочих, сейчас по Z</t>
  </si>
  <si>
    <t>код строки</t>
  </si>
  <si>
    <t>Уреждение</t>
  </si>
  <si>
    <t>по Сводному реестру</t>
  </si>
  <si>
    <t>223D0798</t>
  </si>
  <si>
    <t>223D0137</t>
  </si>
  <si>
    <t>Вид документа</t>
  </si>
  <si>
    <t xml:space="preserve">Орган, осуществляющий функции и полномочия учредителя </t>
  </si>
  <si>
    <t>Юридический адрес учреждения</t>
  </si>
  <si>
    <t>первичный</t>
  </si>
  <si>
    <t>уточненный</t>
  </si>
  <si>
    <t>версия Плана ФХД</t>
  </si>
  <si>
    <t>https://www.planetaexcel.ru/techniques/1/38/</t>
  </si>
  <si>
    <t>СМЕЩ(ТИТУЛ!$DE$23;ПОИСКПОЗ(ТИТУЛ!$R$22;ТИТУЛ!$DE$23:$DE$56;0)-1;1;СЧЁТЕСЛИ(ТИТУЛ!$DE$23:$DE$56;ТИТУЛ!$R$22);1)</t>
  </si>
  <si>
    <t>Ctrl+F3 версия_Плана_ФХД</t>
  </si>
  <si>
    <t>CO22 проверка данных список =версия_Плана_ФХД</t>
  </si>
  <si>
    <t>комфорт 777F254240.244.0</t>
  </si>
  <si>
    <t>детсад 0110120590.244.М</t>
  </si>
  <si>
    <t>МХШ 0820323590.244.М</t>
  </si>
  <si>
    <t>ЦБС 0830542590.244.М</t>
  </si>
  <si>
    <t>музей 0840341590.244.М</t>
  </si>
  <si>
    <t>культура 0850640590.244.М</t>
  </si>
  <si>
    <t>школа 0110221590.244.М</t>
  </si>
  <si>
    <t>допобр 0120123590.244.М</t>
  </si>
  <si>
    <t>благоустройство 0500900590.244.М</t>
  </si>
  <si>
    <t>спорт 1130387590.244.М</t>
  </si>
  <si>
    <t>2231 Электроэнергия 227.Э</t>
  </si>
  <si>
    <t>2232 Теплоэнергия 227.Т</t>
  </si>
  <si>
    <t>2233 Водоснабжение 244.В</t>
  </si>
  <si>
    <t>2234 Обращение ТКО 244.М</t>
  </si>
  <si>
    <t>на заседании Наблюдательного совета</t>
  </si>
  <si>
    <t>СМЕЩ(ТИТУЛ!$DE$23;ПОИСКПОЗ(ТИТУЛ!$R$22;ТИТУЛ!$DE$23:$DE$55;0)-1;1;СЧЁТЕСЛИ(ТИТУЛ!$DE$23:$DE$55;ТИТУЛ!$R$22);1)</t>
  </si>
  <si>
    <t>энергоресурсы</t>
  </si>
  <si>
    <t>доходы 0000000131.247.Э</t>
  </si>
  <si>
    <t>аренда 0000000121.247.Э</t>
  </si>
  <si>
    <t>компенсация 000000135.247.Э</t>
  </si>
  <si>
    <t>детсад 0110120590.247.Э</t>
  </si>
  <si>
    <t>школа 0110221590.247.Э</t>
  </si>
  <si>
    <t>допобр 0120123590.247.Э</t>
  </si>
  <si>
    <t>благоустройство 0500900590.247.Э</t>
  </si>
  <si>
    <t>МХШ 0820323590.247.Э</t>
  </si>
  <si>
    <t>ЦБС 0830542590.247.Э</t>
  </si>
  <si>
    <t>музей 0840341590.247.Э</t>
  </si>
  <si>
    <t>культура 0850640590.247.Э</t>
  </si>
  <si>
    <t>спорт 1130387590.247.Э</t>
  </si>
  <si>
    <t>доходы 0000000131.247.Т</t>
  </si>
  <si>
    <t>аренда 0000000121.247.Т</t>
  </si>
  <si>
    <t>детсад 0110120590.247.Т</t>
  </si>
  <si>
    <t>школа 0110221590.247.Т</t>
  </si>
  <si>
    <t>допобр 0120123590.247.Т</t>
  </si>
  <si>
    <t>благоустройство 0500900590.247.Т</t>
  </si>
  <si>
    <t>МХШ 0820323590.247.Т</t>
  </si>
  <si>
    <t>ЦБС 0830542590.247.Т</t>
  </si>
  <si>
    <t>музей 0840341590.247.Т</t>
  </si>
  <si>
    <t>культура 0850640590.247.Т</t>
  </si>
  <si>
    <t>спорт 1130387590.247.Т</t>
  </si>
  <si>
    <t>газета обл 77706S2050.247.Т</t>
  </si>
  <si>
    <t>газета 77707S2050.247.Т</t>
  </si>
  <si>
    <t>муниципальное задание</t>
  </si>
  <si>
    <t>0001</t>
  </si>
  <si>
    <t>0002</t>
  </si>
  <si>
    <t>Прочие поступления</t>
  </si>
  <si>
    <t>соцвыплаты, кроме ПНО</t>
  </si>
  <si>
    <t>Перечисления организациям</t>
  </si>
  <si>
    <t>гранты БУ</t>
  </si>
  <si>
    <t>гранты АУ</t>
  </si>
  <si>
    <t>гранты НКО</t>
  </si>
  <si>
    <t>гранты юр. и физ. лицам</t>
  </si>
  <si>
    <t>взносы МНО</t>
  </si>
  <si>
    <t>платежи соглашения МНО</t>
  </si>
  <si>
    <t>Расходы на закупки, всего</t>
  </si>
  <si>
    <t>Прочие расходы</t>
  </si>
  <si>
    <t>УМЕНЬШЕНИЕ ДОХОДА</t>
  </si>
  <si>
    <t>Налог на прибыль</t>
  </si>
  <si>
    <t>НДС</t>
  </si>
  <si>
    <t>Прочие налоги</t>
  </si>
  <si>
    <t>Учреждение</t>
  </si>
  <si>
    <t>ссылкы КБК по ИЦ на 510 от.коды</t>
  </si>
  <si>
    <t>Орган, осуществляющий функции и полномочия учредителя</t>
  </si>
  <si>
    <t xml:space="preserve">Планируемые на </t>
  </si>
  <si>
    <t>Сумма после изменений на, руб.</t>
  </si>
  <si>
    <t>Сумма до изменений на, руб.</t>
  </si>
  <si>
    <t>Сумма изменений на, руб.</t>
  </si>
  <si>
    <t>Сумма на, руб.</t>
  </si>
  <si>
    <t>катафалк 7770426000.510.0</t>
  </si>
  <si>
    <t>СД</t>
  </si>
  <si>
    <t>детсад</t>
  </si>
  <si>
    <t>школа</t>
  </si>
  <si>
    <t>допобр</t>
  </si>
  <si>
    <t>МЗ</t>
  </si>
  <si>
    <t>ИЦ</t>
  </si>
  <si>
    <t>дебиторка</t>
  </si>
  <si>
    <t>иные налоги</t>
  </si>
  <si>
    <t>штрафы</t>
  </si>
  <si>
    <t>МАУ "ФОК "АТЛАНТ" В Г.ШАХУНЬЯ"</t>
  </si>
  <si>
    <t>МБУ ФСК "НАДЕЖДА"</t>
  </si>
  <si>
    <t>МБДОУ БОЛЬШЕШИРОКОВСКИЙ ДС</t>
  </si>
  <si>
    <t>стройка ДК 081A155190.150.0</t>
  </si>
  <si>
    <t>стройка ДК 081A155190.407.0</t>
  </si>
  <si>
    <t>фед.культура 08102L4670.150.0</t>
  </si>
  <si>
    <t>фед.культура 08102L4670.244.0</t>
  </si>
  <si>
    <t>праздник 0850525220.150.0</t>
  </si>
  <si>
    <t>праздник 0850525220.244.0</t>
  </si>
  <si>
    <t>ПСД Хмелевицы 7770420220.150.0</t>
  </si>
  <si>
    <t>ПСД Хмелевицы 7770420220.407.0</t>
  </si>
  <si>
    <t>0707</t>
  </si>
  <si>
    <t>здоровье 0160125170.150.0</t>
  </si>
  <si>
    <t>здоровье 0160125170.244.0</t>
  </si>
  <si>
    <t>Малышева Марина Николаевна</t>
  </si>
  <si>
    <t>класс 0110253030.150.0</t>
  </si>
  <si>
    <t>класс 0110253030.111.0</t>
  </si>
  <si>
    <t>класс 0110253030.119.0</t>
  </si>
  <si>
    <t>горяч.питание 01102L3040.150.0</t>
  </si>
  <si>
    <t>горяч.питание 01102L3040.244.0</t>
  </si>
  <si>
    <t>доп.питание 01102S2490.150.0</t>
  </si>
  <si>
    <t>доп.питание 01102S2490.244.0</t>
  </si>
  <si>
    <t>МТБ обр 0110300040.150.0</t>
  </si>
  <si>
    <t>МТБ обр 0110300040.244.0</t>
  </si>
  <si>
    <t>ремонт 01103S2180.150.0</t>
  </si>
  <si>
    <t>ремонт 01103S2180.243.0</t>
  </si>
  <si>
    <t>комфорт 777F254240.510.0</t>
  </si>
  <si>
    <t>ИНДЕКС(Прайс[Цена];ПОИСКПОЗ(1;ИНДЕКС((A2=Прайс[Наименование])*(B2=Прайс[Порода])*(C2=Прайс[Размер]);););1)</t>
  </si>
  <si>
    <t>23.01.2021 АВТОРАСЧЕТ ЛИСТА ИНЫЕ ЦЕЛИ</t>
  </si>
  <si>
    <t>Наименование субсидии код КОСГУ</t>
  </si>
  <si>
    <t>ЕСЛИОШИБКА(ИНДЕКС(ПОКАЗАТЕЛИ!$A$7:$H$17;ПОИСКПОЗ($A$23;ПОКАЗАТЕЛИ!$A$7:$A$17;0);6);"")</t>
  </si>
  <si>
    <t>ЕСЛИОШИБКА(ИНДЕКС(ПОКАЗАТЕЛИ!$A$6:$H$19;ПОИСКПОЗ(1;ИНДЕКС((A23=ПОКАЗАТЕЛИ!$A$6:$A$19)*(D23=ПОКАЗАТЕЛИ!$C$6:$C$19)*(E23=ПОКАЗАТЕЛИ!$D$6:$D$19););0);6);"")</t>
  </si>
  <si>
    <t>Артемьева Елизавета Михайловна</t>
  </si>
  <si>
    <t>Габдулин Шамиль Рауильевич</t>
  </si>
  <si>
    <t>Соловьева Ирина Алексеевна</t>
  </si>
  <si>
    <t>Администрация городского округа город Шахунья Нижегородской области</t>
  </si>
  <si>
    <t>Глава местного самоуправления городского округа город Шахунья</t>
  </si>
  <si>
    <t>Кошелев Роман Вячеславович</t>
  </si>
  <si>
    <t>Г.</t>
  </si>
  <si>
    <t>АПРЕЛЯ</t>
  </si>
  <si>
    <t>ПЛАН ФИНАНСОВО-ХОЗЯЙСТВЕННОЙ ДЕЯТЕЛЬНОСТИ</t>
  </si>
  <si>
    <t>ДАТА</t>
  </si>
  <si>
    <t>МЕСЯЦ</t>
  </si>
  <si>
    <t>ГОД</t>
  </si>
  <si>
    <t>ЯНВАРЯ</t>
  </si>
  <si>
    <t>ФЕВРАЛЯ</t>
  </si>
  <si>
    <t>МАРТА</t>
  </si>
  <si>
    <t>МАЯ</t>
  </si>
  <si>
    <t>ИЮНЯ</t>
  </si>
  <si>
    <t>ИЮЛЯ</t>
  </si>
  <si>
    <t>АВГУСТА</t>
  </si>
  <si>
    <t>СЕНТЯБРЯ</t>
  </si>
  <si>
    <t>ОКТЯБРЯ</t>
  </si>
  <si>
    <t>НОЯБРЯ</t>
  </si>
  <si>
    <t>ДЕКАБРЯ</t>
  </si>
  <si>
    <t>ВЕРСИЯ</t>
  </si>
  <si>
    <t>НОМЕР</t>
  </si>
  <si>
    <t>23.01.2021 ИНЫЕ ЦЕЛИ УБРАЛ Остаток средств на начало, Т.К ОН ЕСТЬ ВНИЗУ</t>
  </si>
  <si>
    <t>СЦЕПИТЬ("Остаток средств на начало ";ТИТУЛ!DF10;" Г.")</t>
  </si>
  <si>
    <t>СУММЕСЛИМН(ПОКАЗАТЕЛИ!F7:F17;ПОКАЗАТЕЛИ!A7:A17;КБК!E853)</t>
  </si>
  <si>
    <t>Муниципальное автономное учреждение "Физкультурно-оздоровительный комплекс "Атлант" в г.Шахунья"</t>
  </si>
  <si>
    <t>Наменование и код субсидии</t>
  </si>
  <si>
    <t>убрал вычисление кода субсидии</t>
  </si>
  <si>
    <t>ЕСЛИОШИБКА(ПСТР(A34;ПОИСКПОЗ(ИСТИНА;ЕЧИСЛО(ПСТР(A34;СТРОКА(ДВССЫЛ("1:"&amp;ДЛСТР(A34)));1)*1);0);10);"")</t>
  </si>
  <si>
    <t>ВСЕГО</t>
  </si>
  <si>
    <t>ФАИП</t>
  </si>
  <si>
    <t>Чернигина Елена Николаевна</t>
  </si>
  <si>
    <t>Муниципальное бюджетное дошкольное образовательное учреждение Большешироковский детский сад</t>
  </si>
  <si>
    <t>Автономное учреждение "Редакция газеты "Знамя труда"</t>
  </si>
  <si>
    <t>АУ "Редакция газеты "Знамя труда"</t>
  </si>
  <si>
    <t>Муниципальное бюджетное учреждение физкультурно-спортивный клуб "Надежда"</t>
  </si>
  <si>
    <t>культура 0850640590.244.Т</t>
  </si>
  <si>
    <t>ЦБС 0830542590.244.Т</t>
  </si>
  <si>
    <t>спорт 1130387590.244.Т</t>
  </si>
  <si>
    <t>Главный редактор</t>
  </si>
  <si>
    <t>Конев Дмитрий Николаевич</t>
  </si>
  <si>
    <t>Мелентьева Вера Владимировна</t>
  </si>
  <si>
    <t>Рыжаков Иван Николаевич</t>
  </si>
  <si>
    <t>Хомутова Елена Владимировна</t>
  </si>
  <si>
    <t>дети-инвалиды 0110173170.510.0</t>
  </si>
  <si>
    <t>дети-инвалиды 0110173170.150.0</t>
  </si>
  <si>
    <t>дети-инвалиды 0110173170.244.0</t>
  </si>
  <si>
    <t>ЛВС школа 011D274850.510.0</t>
  </si>
  <si>
    <t>ЛВС школа 011D274850.244.0</t>
  </si>
  <si>
    <t>МТБ обр 0110300040.510.0</t>
  </si>
  <si>
    <t>МТБ обр 0110300040.243.0</t>
  </si>
  <si>
    <t>питание 0110273180.150.0</t>
  </si>
  <si>
    <t>питание 0110273180.244.0</t>
  </si>
  <si>
    <t>горяч.питание 01102L3040.510.0</t>
  </si>
  <si>
    <t>доп.питание 01102S2490.111.0</t>
  </si>
  <si>
    <t>доп.питание 01102S2490.119.0</t>
  </si>
  <si>
    <t xml:space="preserve"> учащийся 0120823590.510.0</t>
  </si>
  <si>
    <t>Лопатина Елена Сергеевна</t>
  </si>
  <si>
    <t>доходы 0000000131.244.Т</t>
  </si>
  <si>
    <t>лучший ДК 08102L5190.150.0</t>
  </si>
  <si>
    <t>лучший ДК 08102L5190.244.0</t>
  </si>
  <si>
    <t>детсад 0110120590.244.Т</t>
  </si>
  <si>
    <t>детсад 0110120590.610.0</t>
  </si>
  <si>
    <t>школа 0110221590.610.0</t>
  </si>
  <si>
    <t>допобр 0120123590.610.0</t>
  </si>
  <si>
    <t>культура 0850640590.610.0</t>
  </si>
  <si>
    <t>ЦБС 0830542590.610.0</t>
  </si>
  <si>
    <t>музей 0840341590.610.0</t>
  </si>
  <si>
    <t>МХШ 0820323590.610.0</t>
  </si>
  <si>
    <t>точка роста 011E174590.150.0</t>
  </si>
  <si>
    <t>точка роста 011E174590.111.0</t>
  </si>
  <si>
    <t>точка роста 011E174590.119.0</t>
  </si>
  <si>
    <t>Начальник сектора по бухгалтерскому учету и отчетности</t>
  </si>
  <si>
    <t xml:space="preserve"> учащийся 0120823590.610.0</t>
  </si>
  <si>
    <t>спорт 1130387590.610.0</t>
  </si>
  <si>
    <t>Полозкова Нина Юрьевна</t>
  </si>
  <si>
    <t>точка роста 011E174590.244.0</t>
  </si>
  <si>
    <t>городская среда 7770674650.244.0</t>
  </si>
  <si>
    <t>версия 210324</t>
  </si>
  <si>
    <t>городская среда 7770674650.150.0</t>
  </si>
  <si>
    <t>Увеличена доходная строка 0503 7770674650 180 152 - 47 426 200,00 рублей.</t>
  </si>
  <si>
    <t>Увеличена расходная строка 0503 7770674650 244 226 - 47 426 200,00 рублей.</t>
  </si>
  <si>
    <t>Увеличена расходная строка 1102 0000000131 180 189 - 25000,00 рублей.</t>
  </si>
  <si>
    <t>Уменьшена расходная строка 1102 0000000131 244 346 - 25000,00 рублей.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</si>
</sst>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8" x14ac:knownFonts="1">
    <font>
      <sz val="11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Calibri"/>
      <family val="2"/>
      <charset val="204"/>
    </font>
    <font>
      <sz val="10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indexed="8"/>
      <name val="Calibri"/>
      <family val="2"/>
      <charset val="204"/>
    </font>
    <font>
      <sz val="12"/>
      <name val="Calibri"/>
      <family val="2"/>
      <charset val="204"/>
    </font>
    <font>
      <sz val="10"/>
      <color indexed="8"/>
      <name val="Calibri"/>
      <family val="2"/>
      <charset val="204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36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sz val="16"/>
      <color theme="1"/>
      <name val="Times New Roman"/>
      <family val="1"/>
      <charset val="204"/>
    </font>
    <font>
      <b/>
      <sz val="72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72"/>
      <color theme="1"/>
      <name val="Calibri"/>
      <family val="2"/>
      <charset val="204"/>
      <scheme val="minor"/>
    </font>
    <font>
      <b/>
      <sz val="24"/>
      <color theme="1"/>
      <name val="Calibri"/>
      <family val="2"/>
      <charset val="204"/>
      <scheme val="minor"/>
    </font>
    <font>
      <b/>
      <sz val="28"/>
      <color theme="1"/>
      <name val="Times New Roman"/>
      <family val="1"/>
      <charset val="204"/>
    </font>
    <font>
      <b/>
      <sz val="28"/>
      <color theme="1"/>
      <name val="Calibri"/>
      <family val="2"/>
      <charset val="204"/>
      <scheme val="minor"/>
    </font>
    <font>
      <b/>
      <sz val="22"/>
      <color rgb="FFFF0000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b/>
      <sz val="18"/>
      <color rgb="FFFF0000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b/>
      <sz val="13"/>
      <color theme="1"/>
      <name val="Times New Roman"/>
      <family val="1"/>
      <charset val="204"/>
    </font>
    <font>
      <b/>
      <sz val="18"/>
      <color theme="1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4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b/>
      <sz val="23"/>
      <color theme="1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9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28"/>
      <color rgb="FFFF000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sz val="16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medium">
        <color auto="1"/>
      </right>
      <top style="hair">
        <color auto="1"/>
      </top>
      <bottom/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/>
      <diagonal/>
    </border>
    <border>
      <left/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/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/>
      <bottom/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/>
      <bottom/>
      <diagonal/>
    </border>
  </borders>
  <cellStyleXfs count="3">
    <xf numFmtId="0" fontId="0" fillId="0" borderId="0"/>
    <xf numFmtId="0" fontId="3" fillId="0" borderId="0"/>
    <xf numFmtId="0" fontId="11" fillId="0" borderId="0" applyNumberFormat="0" applyFill="0" applyBorder="0" applyAlignment="0" applyProtection="0"/>
  </cellStyleXfs>
  <cellXfs count="494">
    <xf numFmtId="0" fontId="0" fillId="0" borderId="0" xfId="0"/>
    <xf numFmtId="49" fontId="0" fillId="0" borderId="0" xfId="0" applyNumberFormat="1"/>
    <xf numFmtId="0" fontId="4" fillId="2" borderId="0" xfId="1" applyFont="1" applyFill="1" applyProtection="1"/>
    <xf numFmtId="0" fontId="5" fillId="2" borderId="0" xfId="1" applyFont="1" applyFill="1" applyProtection="1"/>
    <xf numFmtId="0" fontId="5" fillId="2" borderId="0" xfId="1" applyNumberFormat="1" applyFont="1" applyFill="1" applyAlignment="1" applyProtection="1">
      <alignment horizontal="center"/>
    </xf>
    <xf numFmtId="0" fontId="0" fillId="2" borderId="0" xfId="0" applyNumberFormat="1" applyFill="1" applyAlignment="1" applyProtection="1">
      <alignment horizontal="center"/>
    </xf>
    <xf numFmtId="0" fontId="5" fillId="2" borderId="0" xfId="1" applyNumberFormat="1" applyFont="1" applyFill="1" applyProtection="1"/>
    <xf numFmtId="0" fontId="7" fillId="2" borderId="0" xfId="1" applyFont="1" applyFill="1" applyProtection="1"/>
    <xf numFmtId="0" fontId="7" fillId="2" borderId="0" xfId="0" applyFont="1" applyFill="1" applyProtection="1"/>
    <xf numFmtId="0" fontId="4" fillId="2" borderId="0" xfId="1" applyNumberFormat="1" applyFont="1" applyFill="1" applyAlignment="1" applyProtection="1">
      <alignment vertical="top"/>
    </xf>
    <xf numFmtId="0" fontId="4" fillId="2" borderId="0" xfId="1" applyNumberFormat="1" applyFont="1" applyFill="1" applyAlignment="1" applyProtection="1">
      <alignment vertical="center"/>
    </xf>
    <xf numFmtId="0" fontId="4" fillId="2" borderId="0" xfId="1" applyFont="1" applyFill="1" applyAlignment="1" applyProtection="1">
      <alignment vertical="center"/>
    </xf>
    <xf numFmtId="0" fontId="8" fillId="2" borderId="0" xfId="1" applyFont="1" applyFill="1" applyProtection="1"/>
    <xf numFmtId="0" fontId="4" fillId="2" borderId="0" xfId="1" applyFont="1" applyFill="1" applyAlignment="1" applyProtection="1">
      <alignment vertical="top"/>
    </xf>
    <xf numFmtId="0" fontId="16" fillId="0" borderId="0" xfId="0" applyFont="1" applyAlignment="1" applyProtection="1">
      <alignment horizontal="center" vertical="center"/>
    </xf>
    <xf numFmtId="0" fontId="12" fillId="0" borderId="0" xfId="0" applyFont="1" applyProtection="1"/>
    <xf numFmtId="0" fontId="1" fillId="0" borderId="0" xfId="0" applyNumberFormat="1" applyFont="1" applyFill="1" applyBorder="1" applyAlignment="1" applyProtection="1">
      <alignment horizontal="right" vertical="center"/>
    </xf>
    <xf numFmtId="49" fontId="0" fillId="0" borderId="0" xfId="0" applyNumberFormat="1" applyFill="1" applyAlignment="1" applyProtection="1">
      <alignment horizontal="center" vertical="center"/>
    </xf>
    <xf numFmtId="0" fontId="18" fillId="0" borderId="0" xfId="0" applyFont="1" applyProtection="1"/>
    <xf numFmtId="0" fontId="19" fillId="0" borderId="0" xfId="0" applyFont="1" applyProtection="1"/>
    <xf numFmtId="0" fontId="19" fillId="0" borderId="0" xfId="0" applyFont="1" applyBorder="1" applyAlignment="1" applyProtection="1">
      <alignment vertical="top"/>
    </xf>
    <xf numFmtId="0" fontId="18" fillId="0" borderId="0" xfId="0" applyFont="1" applyAlignment="1" applyProtection="1"/>
    <xf numFmtId="4" fontId="18" fillId="0" borderId="0" xfId="0" applyNumberFormat="1" applyFont="1" applyProtection="1"/>
    <xf numFmtId="0" fontId="14" fillId="0" borderId="0" xfId="0" applyFont="1" applyBorder="1" applyAlignment="1" applyProtection="1">
      <alignment horizontal="center" vertical="center"/>
    </xf>
    <xf numFmtId="0" fontId="14" fillId="0" borderId="0" xfId="0" applyFont="1" applyAlignment="1" applyProtection="1">
      <alignment horizontal="center" vertical="center"/>
    </xf>
    <xf numFmtId="0" fontId="15" fillId="0" borderId="0" xfId="0" applyFont="1" applyAlignment="1" applyProtection="1">
      <alignment horizontal="center" vertical="center"/>
    </xf>
    <xf numFmtId="0" fontId="13" fillId="0" borderId="0" xfId="0" applyFont="1" applyAlignment="1" applyProtection="1">
      <alignment vertical="center" wrapText="1"/>
    </xf>
    <xf numFmtId="0" fontId="13" fillId="0" borderId="0" xfId="0" applyFont="1" applyAlignment="1" applyProtection="1">
      <alignment horizontal="center" vertical="center" wrapText="1"/>
    </xf>
    <xf numFmtId="0" fontId="13" fillId="0" borderId="0" xfId="0" applyFont="1" applyAlignment="1" applyProtection="1">
      <alignment horizontal="center" vertical="center"/>
    </xf>
    <xf numFmtId="4" fontId="13" fillId="0" borderId="0" xfId="0" applyNumberFormat="1" applyFont="1" applyAlignment="1" applyProtection="1">
      <alignment horizontal="center" vertical="center"/>
    </xf>
    <xf numFmtId="0" fontId="13" fillId="0" borderId="0" xfId="0" applyFont="1" applyAlignment="1" applyProtection="1">
      <alignment vertical="center"/>
    </xf>
    <xf numFmtId="0" fontId="14" fillId="0" borderId="0" xfId="0" applyFont="1" applyAlignment="1" applyProtection="1">
      <alignment vertical="center"/>
    </xf>
    <xf numFmtId="0" fontId="0" fillId="0" borderId="0" xfId="0" applyAlignment="1">
      <alignment horizontal="right" vertical="center"/>
    </xf>
    <xf numFmtId="0" fontId="16" fillId="0" borderId="0" xfId="0" applyFont="1" applyBorder="1" applyAlignment="1" applyProtection="1">
      <alignment horizontal="center" vertical="center"/>
    </xf>
    <xf numFmtId="0" fontId="0" fillId="0" borderId="0" xfId="0" applyNumberFormat="1"/>
    <xf numFmtId="0" fontId="0" fillId="5" borderId="0" xfId="0" applyFill="1"/>
    <xf numFmtId="49" fontId="0" fillId="5" borderId="0" xfId="0" applyNumberFormat="1" applyFill="1"/>
    <xf numFmtId="0" fontId="0" fillId="0" borderId="0" xfId="0" applyNumberFormat="1" applyAlignment="1">
      <alignment horizontal="right" vertical="center"/>
    </xf>
    <xf numFmtId="49" fontId="0" fillId="0" borderId="0" xfId="0" applyNumberFormat="1" applyProtection="1"/>
    <xf numFmtId="0" fontId="1" fillId="0" borderId="0" xfId="0" applyFont="1" applyAlignment="1" applyProtection="1">
      <alignment horizontal="center" vertical="center"/>
    </xf>
    <xf numFmtId="0" fontId="1" fillId="0" borderId="0" xfId="0" applyFont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horizontal="left" vertical="center"/>
    </xf>
    <xf numFmtId="49" fontId="1" fillId="0" borderId="0" xfId="0" applyNumberFormat="1" applyFont="1" applyAlignment="1" applyProtection="1">
      <alignment horizontal="left" vertical="center"/>
    </xf>
    <xf numFmtId="0" fontId="4" fillId="0" borderId="0" xfId="0" applyFont="1" applyAlignment="1" applyProtection="1">
      <alignment horizontal="center" vertical="center"/>
    </xf>
    <xf numFmtId="0" fontId="22" fillId="0" borderId="0" xfId="0" applyFont="1" applyBorder="1" applyAlignment="1" applyProtection="1">
      <alignment horizontal="center" vertical="center"/>
    </xf>
    <xf numFmtId="0" fontId="36" fillId="0" borderId="0" xfId="0" applyNumberFormat="1" applyFont="1" applyFill="1" applyBorder="1" applyAlignment="1" applyProtection="1">
      <alignment horizontal="right" vertical="center"/>
    </xf>
    <xf numFmtId="0" fontId="37" fillId="0" borderId="0" xfId="0" applyNumberFormat="1" applyFont="1" applyAlignment="1" applyProtection="1">
      <alignment horizontal="center" vertical="center"/>
    </xf>
    <xf numFmtId="0" fontId="36" fillId="0" borderId="0" xfId="0" applyNumberFormat="1" applyFont="1" applyFill="1" applyBorder="1" applyAlignment="1" applyProtection="1">
      <alignment horizontal="center" vertical="center"/>
    </xf>
    <xf numFmtId="0" fontId="0" fillId="0" borderId="0" xfId="0" applyNumberFormat="1" applyFill="1" applyProtection="1"/>
    <xf numFmtId="0" fontId="0" fillId="0" borderId="0" xfId="0" applyNumberFormat="1" applyFill="1" applyBorder="1" applyAlignment="1" applyProtection="1">
      <alignment horizontal="right"/>
    </xf>
    <xf numFmtId="0" fontId="0" fillId="0" borderId="0" xfId="0" applyAlignment="1">
      <alignment vertical="center"/>
    </xf>
    <xf numFmtId="0" fontId="0" fillId="3" borderId="0" xfId="0" applyFill="1"/>
    <xf numFmtId="49" fontId="0" fillId="0" borderId="0" xfId="0" applyNumberFormat="1" applyAlignment="1">
      <alignment horizontal="left" vertical="center"/>
    </xf>
    <xf numFmtId="49" fontId="0" fillId="5" borderId="0" xfId="0" applyNumberFormat="1" applyFill="1" applyAlignment="1">
      <alignment horizontal="left"/>
    </xf>
    <xf numFmtId="0" fontId="2" fillId="0" borderId="12" xfId="0" applyFont="1" applyFill="1" applyBorder="1" applyAlignment="1" applyProtection="1">
      <alignment horizontal="center" vertical="center" wrapText="1"/>
    </xf>
    <xf numFmtId="0" fontId="1" fillId="0" borderId="12" xfId="0" applyFont="1" applyFill="1" applyBorder="1" applyAlignment="1" applyProtection="1">
      <alignment horizontal="center" vertical="center" wrapText="1"/>
    </xf>
    <xf numFmtId="0" fontId="1" fillId="0" borderId="12" xfId="0" applyFont="1" applyFill="1" applyBorder="1" applyAlignment="1" applyProtection="1">
      <alignment horizontal="center" vertical="center"/>
    </xf>
    <xf numFmtId="4" fontId="1" fillId="0" borderId="12" xfId="0" applyNumberFormat="1" applyFont="1" applyFill="1" applyBorder="1" applyAlignment="1" applyProtection="1">
      <alignment horizontal="right" vertical="center"/>
    </xf>
    <xf numFmtId="0" fontId="1" fillId="0" borderId="12" xfId="0" applyFont="1" applyFill="1" applyBorder="1" applyAlignment="1" applyProtection="1">
      <alignment horizontal="right" vertical="center" wrapText="1"/>
    </xf>
    <xf numFmtId="4" fontId="1" fillId="0" borderId="12" xfId="0" applyNumberFormat="1" applyFont="1" applyFill="1" applyBorder="1" applyAlignment="1" applyProtection="1">
      <alignment horizontal="right" vertical="center"/>
      <protection locked="0"/>
    </xf>
    <xf numFmtId="0" fontId="2" fillId="0" borderId="12" xfId="0" applyFont="1" applyFill="1" applyBorder="1" applyAlignment="1" applyProtection="1">
      <alignment vertical="center" wrapText="1"/>
    </xf>
    <xf numFmtId="0" fontId="4" fillId="0" borderId="12" xfId="0" applyFont="1" applyFill="1" applyBorder="1" applyAlignment="1" applyProtection="1">
      <alignment horizontal="center" vertical="center"/>
    </xf>
    <xf numFmtId="0" fontId="2" fillId="0" borderId="12" xfId="0" applyFont="1" applyFill="1" applyBorder="1" applyAlignment="1" applyProtection="1">
      <alignment horizontal="left" vertical="center" wrapText="1"/>
    </xf>
    <xf numFmtId="0" fontId="1" fillId="0" borderId="12" xfId="0" applyFont="1" applyFill="1" applyBorder="1" applyAlignment="1" applyProtection="1">
      <alignment horizontal="left" vertical="center" wrapText="1"/>
    </xf>
    <xf numFmtId="0" fontId="1" fillId="0" borderId="12" xfId="0" applyNumberFormat="1" applyFont="1" applyFill="1" applyBorder="1" applyAlignment="1" applyProtection="1">
      <alignment horizontal="center" vertical="center"/>
    </xf>
    <xf numFmtId="0" fontId="1" fillId="0" borderId="12" xfId="0" applyFont="1" applyBorder="1" applyAlignment="1" applyProtection="1">
      <alignment horizontal="right" vertical="center"/>
    </xf>
    <xf numFmtId="0" fontId="1" fillId="0" borderId="13" xfId="0" applyFont="1" applyFill="1" applyBorder="1" applyAlignment="1" applyProtection="1">
      <alignment horizontal="center" vertical="center"/>
    </xf>
    <xf numFmtId="0" fontId="4" fillId="0" borderId="13" xfId="0" applyFont="1" applyFill="1" applyBorder="1" applyAlignment="1" applyProtection="1">
      <alignment horizontal="center" vertical="center"/>
    </xf>
    <xf numFmtId="0" fontId="1" fillId="0" borderId="13" xfId="0" applyNumberFormat="1" applyFont="1" applyFill="1" applyBorder="1" applyAlignment="1" applyProtection="1">
      <alignment horizontal="center" vertical="center"/>
    </xf>
    <xf numFmtId="4" fontId="1" fillId="0" borderId="14" xfId="0" applyNumberFormat="1" applyFont="1" applyFill="1" applyBorder="1" applyAlignment="1" applyProtection="1">
      <alignment horizontal="right" vertical="center"/>
    </xf>
    <xf numFmtId="4" fontId="1" fillId="0" borderId="14" xfId="0" applyNumberFormat="1" applyFont="1" applyFill="1" applyBorder="1" applyAlignment="1" applyProtection="1">
      <alignment horizontal="right" vertical="center"/>
      <protection locked="0"/>
    </xf>
    <xf numFmtId="4" fontId="1" fillId="0" borderId="15" xfId="0" applyNumberFormat="1" applyFont="1" applyFill="1" applyBorder="1" applyAlignment="1" applyProtection="1">
      <alignment horizontal="right" vertical="center"/>
      <protection locked="0"/>
    </xf>
    <xf numFmtId="4" fontId="1" fillId="0" borderId="15" xfId="0" applyNumberFormat="1" applyFont="1" applyFill="1" applyBorder="1" applyAlignment="1" applyProtection="1">
      <alignment horizontal="right" vertical="center"/>
    </xf>
    <xf numFmtId="4" fontId="1" fillId="0" borderId="17" xfId="0" applyNumberFormat="1" applyFont="1" applyFill="1" applyBorder="1" applyAlignment="1" applyProtection="1">
      <alignment horizontal="right" vertical="center"/>
    </xf>
    <xf numFmtId="4" fontId="1" fillId="0" borderId="17" xfId="0" applyNumberFormat="1" applyFont="1" applyFill="1" applyBorder="1" applyAlignment="1" applyProtection="1">
      <alignment horizontal="right" vertical="center"/>
      <protection locked="0"/>
    </xf>
    <xf numFmtId="4" fontId="1" fillId="0" borderId="18" xfId="0" applyNumberFormat="1" applyFont="1" applyFill="1" applyBorder="1" applyAlignment="1" applyProtection="1">
      <alignment horizontal="right" vertical="center"/>
      <protection locked="0"/>
    </xf>
    <xf numFmtId="0" fontId="1" fillId="3" borderId="0" xfId="0" applyFont="1" applyFill="1" applyBorder="1" applyAlignment="1" applyProtection="1">
      <alignment horizontal="center" vertical="center"/>
    </xf>
    <xf numFmtId="0" fontId="1" fillId="0" borderId="0" xfId="0" applyFont="1" applyAlignment="1" applyProtection="1">
      <alignment horizontal="left" vertical="center"/>
    </xf>
    <xf numFmtId="0" fontId="0" fillId="0" borderId="4" xfId="0" applyBorder="1" applyAlignment="1" applyProtection="1"/>
    <xf numFmtId="0" fontId="0" fillId="0" borderId="0" xfId="0" applyBorder="1" applyAlignment="1" applyProtection="1">
      <alignment horizontal="center" vertical="center"/>
    </xf>
    <xf numFmtId="0" fontId="0" fillId="0" borderId="1" xfId="0" applyBorder="1"/>
    <xf numFmtId="0" fontId="0" fillId="0" borderId="7" xfId="0" applyBorder="1"/>
    <xf numFmtId="0" fontId="0" fillId="0" borderId="0" xfId="0" applyFill="1"/>
    <xf numFmtId="0" fontId="0" fillId="0" borderId="11" xfId="0" applyBorder="1" applyAlignment="1">
      <alignment horizontal="right"/>
    </xf>
    <xf numFmtId="0" fontId="0" fillId="0" borderId="1" xfId="0" applyBorder="1" applyAlignment="1">
      <alignment horizontal="right"/>
    </xf>
    <xf numFmtId="0" fontId="0" fillId="0" borderId="0" xfId="0" applyFill="1" applyAlignment="1">
      <alignment vertical="center"/>
    </xf>
    <xf numFmtId="0" fontId="11" fillId="0" borderId="0" xfId="2"/>
    <xf numFmtId="0" fontId="17" fillId="0" borderId="0" xfId="0" applyFont="1"/>
    <xf numFmtId="0" fontId="17" fillId="0" borderId="0" xfId="0" applyFont="1" applyAlignment="1">
      <alignment horizontal="right"/>
    </xf>
    <xf numFmtId="0" fontId="17" fillId="0" borderId="0" xfId="0" applyFont="1" applyAlignment="1">
      <alignment horizontal="right" vertical="center"/>
    </xf>
    <xf numFmtId="0" fontId="17" fillId="3" borderId="0" xfId="0" applyFont="1" applyFill="1"/>
    <xf numFmtId="0" fontId="17" fillId="0" borderId="0" xfId="0" applyFont="1" applyAlignment="1"/>
    <xf numFmtId="0" fontId="17" fillId="0" borderId="0" xfId="0" applyFont="1" applyAlignment="1">
      <alignment horizontal="center"/>
    </xf>
    <xf numFmtId="0" fontId="17" fillId="0" borderId="3" xfId="0" applyFont="1" applyBorder="1"/>
    <xf numFmtId="0" fontId="17" fillId="3" borderId="19" xfId="0" applyFont="1" applyFill="1" applyBorder="1"/>
    <xf numFmtId="0" fontId="17" fillId="0" borderId="19" xfId="0" applyFont="1" applyBorder="1"/>
    <xf numFmtId="0" fontId="17" fillId="0" borderId="11" xfId="0" applyFont="1" applyBorder="1"/>
    <xf numFmtId="0" fontId="17" fillId="0" borderId="0" xfId="0" applyNumberFormat="1" applyFont="1"/>
    <xf numFmtId="0" fontId="4" fillId="2" borderId="0" xfId="1" applyFont="1" applyFill="1" applyBorder="1" applyProtection="1"/>
    <xf numFmtId="0" fontId="0" fillId="0" borderId="0" xfId="0" applyNumberFormat="1" applyFill="1" applyAlignment="1" applyProtection="1">
      <alignment horizontal="right"/>
    </xf>
    <xf numFmtId="0" fontId="0" fillId="0" borderId="0" xfId="0" applyNumberFormat="1" applyFill="1" applyAlignment="1" applyProtection="1">
      <alignment horizontal="center" vertical="center"/>
    </xf>
    <xf numFmtId="0" fontId="11" fillId="0" borderId="0" xfId="2" applyNumberFormat="1" applyFill="1" applyProtection="1"/>
    <xf numFmtId="1" fontId="0" fillId="0" borderId="0" xfId="0" applyNumberFormat="1" applyFill="1" applyAlignment="1" applyProtection="1">
      <alignment horizontal="center" vertical="center"/>
    </xf>
    <xf numFmtId="0" fontId="0" fillId="0" borderId="2" xfId="0" applyNumberFormat="1" applyFill="1" applyBorder="1" applyProtection="1"/>
    <xf numFmtId="0" fontId="0" fillId="0" borderId="0" xfId="0" applyNumberFormat="1" applyFill="1" applyBorder="1" applyProtection="1"/>
    <xf numFmtId="0" fontId="0" fillId="0" borderId="0" xfId="0" applyNumberFormat="1" applyFill="1" applyBorder="1" applyAlignment="1" applyProtection="1">
      <alignment horizontal="center" vertical="center"/>
    </xf>
    <xf numFmtId="49" fontId="0" fillId="0" borderId="0" xfId="0" applyNumberFormat="1" applyFill="1" applyBorder="1" applyAlignment="1" applyProtection="1">
      <alignment horizontal="center" vertical="center"/>
    </xf>
    <xf numFmtId="0" fontId="0" fillId="0" borderId="0" xfId="0" applyNumberFormat="1" applyFill="1" applyAlignment="1" applyProtection="1">
      <alignment horizontal="left"/>
    </xf>
    <xf numFmtId="0" fontId="0" fillId="0" borderId="0" xfId="0" applyNumberFormat="1" applyFill="1" applyAlignment="1" applyProtection="1">
      <alignment horizontal="left" vertical="center"/>
    </xf>
    <xf numFmtId="4" fontId="1" fillId="0" borderId="18" xfId="0" applyNumberFormat="1" applyFont="1" applyFill="1" applyBorder="1" applyAlignment="1" applyProtection="1">
      <alignment horizontal="right" vertical="center"/>
    </xf>
    <xf numFmtId="0" fontId="0" fillId="0" borderId="0" xfId="0" applyAlignment="1" applyProtection="1"/>
    <xf numFmtId="0" fontId="14" fillId="0" borderId="0" xfId="0" applyFont="1" applyFill="1" applyAlignment="1" applyProtection="1">
      <alignment horizontal="right" vertical="center"/>
    </xf>
    <xf numFmtId="0" fontId="1" fillId="0" borderId="17" xfId="0" applyFont="1" applyFill="1" applyBorder="1" applyAlignment="1" applyProtection="1">
      <alignment horizontal="right" vertical="center" wrapText="1"/>
    </xf>
    <xf numFmtId="0" fontId="1" fillId="0" borderId="17" xfId="0" applyFont="1" applyFill="1" applyBorder="1" applyAlignment="1" applyProtection="1">
      <alignment horizontal="center" vertical="center" wrapText="1"/>
    </xf>
    <xf numFmtId="0" fontId="1" fillId="0" borderId="17" xfId="0" applyFont="1" applyFill="1" applyBorder="1" applyAlignment="1" applyProtection="1">
      <alignment horizontal="center" vertical="center"/>
    </xf>
    <xf numFmtId="0" fontId="1" fillId="0" borderId="20" xfId="0" applyFont="1" applyFill="1" applyBorder="1" applyAlignment="1" applyProtection="1">
      <alignment horizontal="center" vertical="center"/>
    </xf>
    <xf numFmtId="4" fontId="1" fillId="0" borderId="22" xfId="0" applyNumberFormat="1" applyFont="1" applyFill="1" applyBorder="1" applyAlignment="1" applyProtection="1">
      <alignment horizontal="right" vertical="center"/>
      <protection locked="0"/>
    </xf>
    <xf numFmtId="0" fontId="1" fillId="0" borderId="20" xfId="0" applyNumberFormat="1" applyFont="1" applyFill="1" applyBorder="1" applyAlignment="1" applyProtection="1">
      <alignment horizontal="center" vertical="center"/>
    </xf>
    <xf numFmtId="0" fontId="18" fillId="0" borderId="0" xfId="0" applyFont="1" applyBorder="1" applyAlignment="1" applyProtection="1"/>
    <xf numFmtId="0" fontId="18" fillId="0" borderId="12" xfId="0" applyFont="1" applyBorder="1" applyAlignment="1" applyProtection="1">
      <alignment horizontal="center" vertical="center"/>
    </xf>
    <xf numFmtId="0" fontId="18" fillId="0" borderId="12" xfId="0" applyFont="1" applyBorder="1" applyProtection="1"/>
    <xf numFmtId="0" fontId="18" fillId="0" borderId="0" xfId="0" applyFont="1" applyBorder="1" applyAlignment="1" applyProtection="1">
      <alignment horizontal="center" vertical="center"/>
    </xf>
    <xf numFmtId="0" fontId="20" fillId="0" borderId="0" xfId="0" applyFont="1" applyBorder="1" applyAlignment="1" applyProtection="1">
      <alignment horizontal="center" vertical="center"/>
    </xf>
    <xf numFmtId="0" fontId="29" fillId="0" borderId="0" xfId="0" applyFont="1" applyBorder="1" applyAlignment="1" applyProtection="1">
      <alignment horizontal="center" vertical="center"/>
    </xf>
    <xf numFmtId="0" fontId="18" fillId="0" borderId="0" xfId="0" applyFont="1" applyBorder="1" applyAlignment="1" applyProtection="1">
      <alignment horizontal="center"/>
    </xf>
    <xf numFmtId="0" fontId="18" fillId="0" borderId="0" xfId="0" applyFont="1" applyBorder="1" applyAlignment="1" applyProtection="1">
      <alignment horizontal="right"/>
    </xf>
    <xf numFmtId="0" fontId="39" fillId="0" borderId="0" xfId="0" applyFont="1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/>
    </xf>
    <xf numFmtId="0" fontId="18" fillId="0" borderId="14" xfId="0" applyFont="1" applyBorder="1" applyAlignment="1" applyProtection="1">
      <alignment horizontal="center" vertical="center" wrapText="1"/>
    </xf>
    <xf numFmtId="4" fontId="18" fillId="0" borderId="14" xfId="0" applyNumberFormat="1" applyFont="1" applyBorder="1" applyAlignment="1" applyProtection="1">
      <alignment horizontal="right" vertical="center"/>
    </xf>
    <xf numFmtId="0" fontId="25" fillId="0" borderId="0" xfId="0" applyFont="1" applyAlignment="1" applyProtection="1">
      <alignment horizontal="center" vertical="center"/>
    </xf>
    <xf numFmtId="4" fontId="1" fillId="0" borderId="27" xfId="0" applyNumberFormat="1" applyFont="1" applyFill="1" applyBorder="1" applyAlignment="1" applyProtection="1">
      <alignment horizontal="right" vertical="center"/>
    </xf>
    <xf numFmtId="4" fontId="1" fillId="0" borderId="28" xfId="0" applyNumberFormat="1" applyFont="1" applyFill="1" applyBorder="1" applyAlignment="1" applyProtection="1">
      <alignment horizontal="right" vertical="center"/>
    </xf>
    <xf numFmtId="4" fontId="1" fillId="0" borderId="29" xfId="0" applyNumberFormat="1" applyFont="1" applyFill="1" applyBorder="1" applyAlignment="1" applyProtection="1">
      <alignment horizontal="right" vertical="center"/>
    </xf>
    <xf numFmtId="4" fontId="1" fillId="0" borderId="30" xfId="0" applyNumberFormat="1" applyFont="1" applyFill="1" applyBorder="1" applyAlignment="1" applyProtection="1">
      <alignment horizontal="right" vertical="center"/>
    </xf>
    <xf numFmtId="4" fontId="1" fillId="0" borderId="31" xfId="0" applyNumberFormat="1" applyFont="1" applyFill="1" applyBorder="1" applyAlignment="1" applyProtection="1">
      <alignment horizontal="right" vertical="center"/>
    </xf>
    <xf numFmtId="4" fontId="1" fillId="0" borderId="32" xfId="0" applyNumberFormat="1" applyFont="1" applyFill="1" applyBorder="1" applyAlignment="1" applyProtection="1">
      <alignment horizontal="right" vertical="center"/>
    </xf>
    <xf numFmtId="0" fontId="2" fillId="0" borderId="25" xfId="0" applyFont="1" applyFill="1" applyBorder="1" applyAlignment="1" applyProtection="1">
      <alignment vertical="center" wrapText="1"/>
    </xf>
    <xf numFmtId="0" fontId="1" fillId="0" borderId="25" xfId="0" applyFont="1" applyFill="1" applyBorder="1" applyAlignment="1" applyProtection="1">
      <alignment horizontal="center" vertical="center" wrapText="1"/>
    </xf>
    <xf numFmtId="4" fontId="1" fillId="0" borderId="35" xfId="0" applyNumberFormat="1" applyFont="1" applyFill="1" applyBorder="1" applyAlignment="1" applyProtection="1">
      <alignment horizontal="right" vertical="center"/>
    </xf>
    <xf numFmtId="4" fontId="1" fillId="0" borderId="25" xfId="0" applyNumberFormat="1" applyFont="1" applyFill="1" applyBorder="1" applyAlignment="1" applyProtection="1">
      <alignment horizontal="right" vertical="center"/>
    </xf>
    <xf numFmtId="4" fontId="1" fillId="0" borderId="36" xfId="0" applyNumberFormat="1" applyFont="1" applyFill="1" applyBorder="1" applyAlignment="1" applyProtection="1">
      <alignment horizontal="right" vertical="center"/>
    </xf>
    <xf numFmtId="4" fontId="1" fillId="0" borderId="34" xfId="0" applyNumberFormat="1" applyFont="1" applyFill="1" applyBorder="1" applyAlignment="1" applyProtection="1">
      <alignment horizontal="right" vertical="center"/>
    </xf>
    <xf numFmtId="0" fontId="2" fillId="0" borderId="25" xfId="0" applyFont="1" applyFill="1" applyBorder="1" applyAlignment="1" applyProtection="1">
      <alignment horizontal="center" vertical="center" wrapText="1"/>
    </xf>
    <xf numFmtId="0" fontId="1" fillId="0" borderId="25" xfId="0" applyFont="1" applyFill="1" applyBorder="1" applyAlignment="1" applyProtection="1">
      <alignment horizontal="center" vertical="center"/>
    </xf>
    <xf numFmtId="0" fontId="1" fillId="0" borderId="37" xfId="0" applyFont="1" applyFill="1" applyBorder="1" applyAlignment="1" applyProtection="1">
      <alignment horizontal="center" vertical="center"/>
    </xf>
    <xf numFmtId="0" fontId="18" fillId="0" borderId="27" xfId="0" applyFont="1" applyBorder="1" applyAlignment="1" applyProtection="1">
      <alignment horizontal="center" vertical="center" wrapText="1"/>
    </xf>
    <xf numFmtId="0" fontId="18" fillId="0" borderId="28" xfId="0" applyFont="1" applyBorder="1" applyAlignment="1" applyProtection="1">
      <alignment horizontal="center" vertical="center" wrapText="1"/>
    </xf>
    <xf numFmtId="4" fontId="18" fillId="0" borderId="38" xfId="0" applyNumberFormat="1" applyFont="1" applyBorder="1" applyAlignment="1" applyProtection="1">
      <alignment horizontal="right" vertical="center"/>
    </xf>
    <xf numFmtId="4" fontId="18" fillId="0" borderId="39" xfId="0" applyNumberFormat="1" applyFont="1" applyBorder="1" applyAlignment="1" applyProtection="1">
      <alignment horizontal="right" vertical="center"/>
    </xf>
    <xf numFmtId="0" fontId="1" fillId="0" borderId="37" xfId="0" applyFont="1" applyFill="1" applyBorder="1" applyAlignment="1" applyProtection="1">
      <alignment horizontal="center" vertical="center" wrapText="1"/>
    </xf>
    <xf numFmtId="0" fontId="1" fillId="0" borderId="13" xfId="0" applyFont="1" applyFill="1" applyBorder="1" applyAlignment="1" applyProtection="1">
      <alignment horizontal="center" vertical="center" wrapText="1"/>
    </xf>
    <xf numFmtId="49" fontId="1" fillId="0" borderId="28" xfId="0" applyNumberFormat="1" applyFont="1" applyFill="1" applyBorder="1" applyAlignment="1" applyProtection="1">
      <alignment horizontal="center" vertical="center"/>
    </xf>
    <xf numFmtId="0" fontId="1" fillId="0" borderId="28" xfId="0" applyFont="1" applyFill="1" applyBorder="1" applyAlignment="1" applyProtection="1">
      <alignment horizontal="center" vertical="center"/>
    </xf>
    <xf numFmtId="0" fontId="1" fillId="0" borderId="30" xfId="0" applyFont="1" applyFill="1" applyBorder="1" applyAlignment="1" applyProtection="1">
      <alignment horizontal="center" vertical="center"/>
    </xf>
    <xf numFmtId="0" fontId="1" fillId="0" borderId="26" xfId="0" applyFont="1" applyFill="1" applyBorder="1" applyAlignment="1" applyProtection="1">
      <alignment horizontal="center" vertical="center"/>
    </xf>
    <xf numFmtId="0" fontId="4" fillId="0" borderId="28" xfId="0" applyFont="1" applyFill="1" applyBorder="1" applyAlignment="1" applyProtection="1">
      <alignment horizontal="center" vertical="center"/>
    </xf>
    <xf numFmtId="0" fontId="1" fillId="0" borderId="28" xfId="0" applyNumberFormat="1" applyFont="1" applyFill="1" applyBorder="1" applyAlignment="1" applyProtection="1">
      <alignment horizontal="center" vertical="center"/>
    </xf>
    <xf numFmtId="0" fontId="1" fillId="0" borderId="30" xfId="0" applyNumberFormat="1" applyFont="1" applyFill="1" applyBorder="1" applyAlignment="1" applyProtection="1">
      <alignment horizontal="center" vertical="center"/>
    </xf>
    <xf numFmtId="0" fontId="42" fillId="0" borderId="12" xfId="0" applyFont="1" applyBorder="1" applyAlignment="1" applyProtection="1">
      <alignment horizontal="left" vertical="center"/>
    </xf>
    <xf numFmtId="0" fontId="42" fillId="0" borderId="12" xfId="0" applyFont="1" applyFill="1" applyBorder="1" applyAlignment="1" applyProtection="1">
      <alignment horizontal="left" vertical="center"/>
    </xf>
    <xf numFmtId="4" fontId="1" fillId="0" borderId="38" xfId="0" applyNumberFormat="1" applyFont="1" applyFill="1" applyBorder="1" applyAlignment="1" applyProtection="1">
      <alignment horizontal="right" vertical="center"/>
    </xf>
    <xf numFmtId="4" fontId="1" fillId="0" borderId="42" xfId="0" applyNumberFormat="1" applyFont="1" applyFill="1" applyBorder="1" applyAlignment="1" applyProtection="1">
      <alignment horizontal="right" vertical="center"/>
    </xf>
    <xf numFmtId="4" fontId="1" fillId="0" borderId="39" xfId="0" applyNumberFormat="1" applyFont="1" applyFill="1" applyBorder="1" applyAlignment="1" applyProtection="1">
      <alignment horizontal="right" vertical="center"/>
    </xf>
    <xf numFmtId="0" fontId="17" fillId="0" borderId="12" xfId="0" applyFont="1" applyBorder="1" applyAlignment="1">
      <alignment horizontal="center" vertical="center" wrapText="1"/>
    </xf>
    <xf numFmtId="49" fontId="17" fillId="0" borderId="12" xfId="0" applyNumberFormat="1" applyFont="1" applyBorder="1" applyAlignment="1">
      <alignment horizontal="center"/>
    </xf>
    <xf numFmtId="0" fontId="17" fillId="0" borderId="12" xfId="0" applyFont="1" applyBorder="1"/>
    <xf numFmtId="0" fontId="21" fillId="0" borderId="12" xfId="0" applyFont="1" applyBorder="1" applyAlignment="1">
      <alignment horizontal="center"/>
    </xf>
    <xf numFmtId="0" fontId="17" fillId="0" borderId="12" xfId="0" applyFont="1" applyBorder="1" applyAlignment="1">
      <alignment horizontal="center"/>
    </xf>
    <xf numFmtId="4" fontId="17" fillId="0" borderId="12" xfId="0" applyNumberFormat="1" applyFont="1" applyBorder="1" applyAlignment="1">
      <alignment horizontal="right"/>
    </xf>
    <xf numFmtId="4" fontId="17" fillId="0" borderId="12" xfId="0" applyNumberFormat="1" applyFont="1" applyBorder="1" applyAlignment="1" applyProtection="1">
      <alignment horizontal="right"/>
      <protection locked="0"/>
    </xf>
    <xf numFmtId="0" fontId="17" fillId="0" borderId="12" xfId="0" applyFont="1" applyFill="1" applyBorder="1" applyAlignment="1">
      <alignment horizontal="right" vertical="center"/>
    </xf>
    <xf numFmtId="0" fontId="17" fillId="0" borderId="12" xfId="0" applyFont="1" applyFill="1" applyBorder="1" applyAlignment="1">
      <alignment horizontal="center"/>
    </xf>
    <xf numFmtId="4" fontId="17" fillId="0" borderId="12" xfId="0" applyNumberFormat="1" applyFont="1" applyFill="1" applyBorder="1" applyAlignment="1" applyProtection="1">
      <alignment horizontal="right"/>
      <protection locked="0"/>
    </xf>
    <xf numFmtId="0" fontId="17" fillId="0" borderId="12" xfId="0" applyFont="1" applyBorder="1" applyAlignment="1">
      <alignment horizontal="left"/>
    </xf>
    <xf numFmtId="0" fontId="17" fillId="0" borderId="12" xfId="0" applyFont="1" applyBorder="1" applyAlignment="1">
      <alignment horizontal="right" vertical="center"/>
    </xf>
    <xf numFmtId="49" fontId="17" fillId="0" borderId="0" xfId="0" applyNumberFormat="1" applyFont="1" applyBorder="1" applyAlignment="1">
      <alignment horizontal="center"/>
    </xf>
    <xf numFmtId="0" fontId="17" fillId="0" borderId="0" xfId="0" applyFont="1" applyBorder="1"/>
    <xf numFmtId="0" fontId="21" fillId="0" borderId="0" xfId="0" applyFont="1" applyBorder="1" applyAlignment="1">
      <alignment horizontal="center"/>
    </xf>
    <xf numFmtId="0" fontId="17" fillId="0" borderId="16" xfId="0" applyFont="1" applyBorder="1" applyAlignment="1">
      <alignment horizontal="center"/>
    </xf>
    <xf numFmtId="4" fontId="17" fillId="0" borderId="16" xfId="0" applyNumberFormat="1" applyFont="1" applyBorder="1" applyAlignment="1">
      <alignment horizontal="right"/>
    </xf>
    <xf numFmtId="4" fontId="17" fillId="0" borderId="0" xfId="0" applyNumberFormat="1" applyFont="1" applyBorder="1" applyAlignment="1">
      <alignment horizontal="right"/>
    </xf>
    <xf numFmtId="0" fontId="8" fillId="0" borderId="12" xfId="0" applyFont="1" applyFill="1" applyBorder="1" applyAlignment="1" applyProtection="1">
      <alignment horizontal="left" vertical="center" wrapText="1"/>
    </xf>
    <xf numFmtId="0" fontId="4" fillId="0" borderId="12" xfId="0" applyFont="1" applyFill="1" applyBorder="1" applyAlignment="1" applyProtection="1">
      <alignment horizontal="right" vertical="center" wrapText="1"/>
    </xf>
    <xf numFmtId="0" fontId="4" fillId="0" borderId="17" xfId="0" applyFont="1" applyFill="1" applyBorder="1" applyAlignment="1" applyProtection="1">
      <alignment horizontal="right" vertical="center" wrapText="1"/>
    </xf>
    <xf numFmtId="4" fontId="1" fillId="0" borderId="33" xfId="0" applyNumberFormat="1" applyFont="1" applyFill="1" applyBorder="1" applyAlignment="1" applyProtection="1">
      <alignment horizontal="right" vertical="center"/>
    </xf>
    <xf numFmtId="0" fontId="1" fillId="0" borderId="12" xfId="0" applyNumberFormat="1" applyFont="1" applyFill="1" applyBorder="1" applyAlignment="1" applyProtection="1">
      <alignment horizontal="center" vertical="center" wrapText="1"/>
    </xf>
    <xf numFmtId="0" fontId="1" fillId="6" borderId="28" xfId="0" applyNumberFormat="1" applyFont="1" applyFill="1" applyBorder="1" applyAlignment="1" applyProtection="1">
      <alignment horizontal="center" vertical="center"/>
    </xf>
    <xf numFmtId="0" fontId="13" fillId="0" borderId="0" xfId="0" applyFont="1" applyFill="1" applyAlignment="1" applyProtection="1">
      <alignment horizontal="center" vertical="center"/>
    </xf>
    <xf numFmtId="0" fontId="14" fillId="0" borderId="0" xfId="0" applyFont="1" applyFill="1" applyAlignment="1" applyProtection="1">
      <alignment horizontal="center" vertical="center"/>
    </xf>
    <xf numFmtId="0" fontId="4" fillId="2" borderId="0" xfId="1" applyFont="1" applyFill="1" applyBorder="1" applyAlignment="1" applyProtection="1">
      <alignment horizontal="center" vertical="center"/>
    </xf>
    <xf numFmtId="0" fontId="4" fillId="0" borderId="0" xfId="1" applyFont="1" applyFill="1" applyBorder="1" applyAlignment="1" applyProtection="1">
      <alignment horizontal="center" vertical="center"/>
    </xf>
    <xf numFmtId="4" fontId="17" fillId="0" borderId="12" xfId="0" applyNumberFormat="1" applyFont="1" applyBorder="1" applyAlignment="1" applyProtection="1">
      <alignment horizontal="right"/>
    </xf>
    <xf numFmtId="4" fontId="17" fillId="0" borderId="12" xfId="0" applyNumberFormat="1" applyFont="1" applyFill="1" applyBorder="1" applyAlignment="1" applyProtection="1">
      <alignment horizontal="right"/>
    </xf>
    <xf numFmtId="4" fontId="18" fillId="0" borderId="12" xfId="0" applyNumberFormat="1" applyFont="1" applyFill="1" applyBorder="1" applyAlignment="1" applyProtection="1">
      <alignment horizontal="right" vertical="center" wrapText="1"/>
    </xf>
    <xf numFmtId="0" fontId="18" fillId="0" borderId="0" xfId="0" applyFont="1" applyBorder="1" applyAlignment="1" applyProtection="1">
      <alignment horizontal="center" vertical="top"/>
    </xf>
    <xf numFmtId="4" fontId="18" fillId="0" borderId="12" xfId="0" applyNumberFormat="1" applyFont="1" applyBorder="1" applyAlignment="1" applyProtection="1">
      <alignment horizontal="right" vertical="center"/>
    </xf>
    <xf numFmtId="0" fontId="4" fillId="2" borderId="0" xfId="1" applyNumberFormat="1" applyFont="1" applyFill="1" applyProtection="1"/>
    <xf numFmtId="0" fontId="4" fillId="2" borderId="0" xfId="1" applyNumberFormat="1" applyFont="1" applyFill="1" applyAlignment="1" applyProtection="1">
      <alignment horizontal="right" vertical="center"/>
    </xf>
    <xf numFmtId="0" fontId="4" fillId="2" borderId="0" xfId="1" applyNumberFormat="1" applyFont="1" applyFill="1" applyBorder="1" applyProtection="1"/>
    <xf numFmtId="0" fontId="31" fillId="0" borderId="0" xfId="0" applyFont="1" applyAlignment="1" applyProtection="1">
      <alignment horizontal="center" vertical="center" wrapText="1"/>
    </xf>
    <xf numFmtId="0" fontId="0" fillId="0" borderId="0" xfId="0" applyFont="1" applyAlignment="1">
      <alignment horizontal="right" wrapText="1"/>
    </xf>
    <xf numFmtId="0" fontId="0" fillId="0" borderId="0" xfId="0" applyAlignment="1">
      <alignment wrapText="1"/>
    </xf>
    <xf numFmtId="0" fontId="17" fillId="0" borderId="0" xfId="0" applyFont="1" applyBorder="1" applyAlignment="1">
      <alignment horizontal="center"/>
    </xf>
    <xf numFmtId="0" fontId="17" fillId="0" borderId="0" xfId="0" applyFont="1" applyAlignment="1">
      <alignment horizontal="center"/>
    </xf>
    <xf numFmtId="0" fontId="18" fillId="0" borderId="0" xfId="0" applyFont="1" applyAlignment="1" applyProtection="1">
      <alignment horizontal="right"/>
    </xf>
    <xf numFmtId="0" fontId="18" fillId="0" borderId="0" xfId="0" applyFont="1" applyAlignment="1" applyProtection="1">
      <alignment horizontal="right" wrapText="1"/>
    </xf>
    <xf numFmtId="0" fontId="18" fillId="0" borderId="0" xfId="0" applyFont="1" applyAlignment="1" applyProtection="1">
      <alignment horizontal="left" wrapText="1"/>
    </xf>
    <xf numFmtId="0" fontId="18" fillId="0" borderId="12" xfId="0" applyFont="1" applyBorder="1" applyAlignment="1" applyProtection="1">
      <alignment horizontal="center" vertical="center" wrapText="1"/>
    </xf>
    <xf numFmtId="0" fontId="18" fillId="0" borderId="12" xfId="0" applyFont="1" applyBorder="1" applyAlignment="1" applyProtection="1">
      <alignment horizontal="right" vertical="center" wrapText="1"/>
    </xf>
    <xf numFmtId="0" fontId="19" fillId="0" borderId="0" xfId="0" applyFont="1" applyBorder="1" applyAlignment="1" applyProtection="1">
      <alignment horizontal="center" vertical="center"/>
    </xf>
    <xf numFmtId="0" fontId="19" fillId="0" borderId="0" xfId="0" applyFont="1" applyBorder="1" applyAlignment="1" applyProtection="1">
      <alignment horizontal="center" vertical="top"/>
    </xf>
    <xf numFmtId="0" fontId="0" fillId="0" borderId="2" xfId="0" applyNumberFormat="1" applyFill="1" applyBorder="1" applyAlignment="1" applyProtection="1">
      <alignment horizontal="right"/>
    </xf>
    <xf numFmtId="0" fontId="0" fillId="0" borderId="2" xfId="0" applyNumberFormat="1" applyFill="1" applyBorder="1" applyAlignment="1" applyProtection="1">
      <alignment horizontal="center" vertical="center"/>
    </xf>
    <xf numFmtId="49" fontId="0" fillId="0" borderId="2" xfId="0" applyNumberFormat="1" applyFill="1" applyBorder="1" applyAlignment="1" applyProtection="1">
      <alignment horizontal="center" vertical="center"/>
    </xf>
    <xf numFmtId="0" fontId="51" fillId="0" borderId="0" xfId="0" applyFont="1" applyAlignment="1" applyProtection="1">
      <alignment wrapText="1"/>
    </xf>
    <xf numFmtId="4" fontId="18" fillId="0" borderId="12" xfId="0" applyNumberFormat="1" applyFont="1" applyFill="1" applyBorder="1" applyAlignment="1" applyProtection="1">
      <alignment horizontal="right" vertical="center"/>
    </xf>
    <xf numFmtId="4" fontId="18" fillId="0" borderId="27" xfId="0" applyNumberFormat="1" applyFont="1" applyBorder="1" applyAlignment="1" applyProtection="1">
      <alignment horizontal="right" vertical="center"/>
    </xf>
    <xf numFmtId="4" fontId="18" fillId="0" borderId="28" xfId="0" applyNumberFormat="1" applyFont="1" applyBorder="1" applyAlignment="1" applyProtection="1">
      <alignment horizontal="right" vertical="center"/>
    </xf>
    <xf numFmtId="0" fontId="27" fillId="0" borderId="0" xfId="0" applyFont="1" applyBorder="1" applyAlignment="1" applyProtection="1">
      <alignment horizontal="center" vertical="center"/>
    </xf>
    <xf numFmtId="0" fontId="33" fillId="0" borderId="0" xfId="0" applyFont="1" applyBorder="1" applyAlignment="1" applyProtection="1">
      <alignment horizontal="center" vertical="center"/>
    </xf>
    <xf numFmtId="0" fontId="49" fillId="0" borderId="0" xfId="0" applyFont="1" applyBorder="1" applyAlignment="1" applyProtection="1">
      <alignment horizontal="center" vertical="top"/>
    </xf>
    <xf numFmtId="0" fontId="45" fillId="0" borderId="0" xfId="0" applyFont="1" applyBorder="1" applyAlignment="1" applyProtection="1">
      <alignment horizontal="center" vertical="top"/>
    </xf>
    <xf numFmtId="0" fontId="35" fillId="0" borderId="0" xfId="0" applyFont="1" applyBorder="1" applyAlignment="1" applyProtection="1">
      <alignment horizontal="center" vertical="center"/>
    </xf>
    <xf numFmtId="0" fontId="0" fillId="0" borderId="0" xfId="0" applyBorder="1" applyAlignment="1" applyProtection="1">
      <alignment vertical="center"/>
    </xf>
    <xf numFmtId="0" fontId="37" fillId="0" borderId="0" xfId="0" applyFont="1" applyBorder="1" applyAlignment="1" applyProtection="1">
      <alignment horizontal="center" vertical="center"/>
    </xf>
    <xf numFmtId="0" fontId="0" fillId="0" borderId="0" xfId="0" applyFont="1" applyBorder="1" applyAlignment="1" applyProtection="1">
      <alignment horizontal="center" vertical="center"/>
    </xf>
    <xf numFmtId="0" fontId="36" fillId="0" borderId="0" xfId="0" applyFont="1" applyFill="1" applyBorder="1" applyAlignment="1" applyProtection="1">
      <alignment horizontal="left" vertical="center"/>
    </xf>
    <xf numFmtId="0" fontId="36" fillId="0" borderId="0" xfId="0" applyFont="1" applyBorder="1" applyAlignment="1" applyProtection="1">
      <alignment horizontal="right"/>
    </xf>
    <xf numFmtId="0" fontId="0" fillId="0" borderId="0" xfId="0" applyFont="1" applyBorder="1" applyAlignment="1" applyProtection="1">
      <alignment horizontal="right"/>
    </xf>
    <xf numFmtId="0" fontId="36" fillId="0" borderId="0" xfId="0" applyNumberFormat="1" applyFont="1" applyBorder="1" applyAlignment="1" applyProtection="1">
      <alignment horizontal="center" vertical="center"/>
    </xf>
    <xf numFmtId="0" fontId="0" fillId="0" borderId="0" xfId="0" applyNumberFormat="1" applyFont="1" applyBorder="1" applyAlignment="1" applyProtection="1">
      <alignment horizontal="center" vertical="center"/>
    </xf>
    <xf numFmtId="0" fontId="13" fillId="0" borderId="0" xfId="0" applyFont="1" applyBorder="1" applyAlignment="1" applyProtection="1">
      <alignment vertical="center"/>
    </xf>
    <xf numFmtId="0" fontId="13" fillId="0" borderId="0" xfId="0" applyFont="1" applyBorder="1" applyAlignment="1" applyProtection="1">
      <alignment horizontal="center" vertical="center"/>
    </xf>
    <xf numFmtId="0" fontId="13" fillId="0" borderId="0" xfId="0" applyFont="1" applyFill="1" applyBorder="1" applyAlignment="1" applyProtection="1">
      <alignment horizontal="center" vertical="center"/>
    </xf>
    <xf numFmtId="0" fontId="1" fillId="0" borderId="0" xfId="0" applyFont="1" applyFill="1" applyBorder="1" applyAlignment="1" applyProtection="1">
      <alignment horizontal="left" vertical="center"/>
    </xf>
    <xf numFmtId="0" fontId="36" fillId="0" borderId="0" xfId="0" applyFont="1" applyBorder="1" applyAlignment="1" applyProtection="1">
      <alignment horizontal="center" vertical="center"/>
    </xf>
    <xf numFmtId="0" fontId="0" fillId="0" borderId="0" xfId="0" applyBorder="1" applyAlignment="1"/>
    <xf numFmtId="0" fontId="18" fillId="0" borderId="0" xfId="0" applyFont="1" applyBorder="1" applyProtection="1"/>
    <xf numFmtId="0" fontId="18" fillId="3" borderId="0" xfId="0" applyFont="1" applyFill="1" applyBorder="1" applyProtection="1"/>
    <xf numFmtId="0" fontId="4" fillId="2" borderId="0" xfId="1" applyFont="1" applyFill="1" applyProtection="1">
      <protection locked="0"/>
    </xf>
    <xf numFmtId="4" fontId="1" fillId="0" borderId="16" xfId="0" applyNumberFormat="1" applyFont="1" applyFill="1" applyBorder="1" applyAlignment="1" applyProtection="1">
      <alignment horizontal="right" vertical="center"/>
    </xf>
    <xf numFmtId="0" fontId="17" fillId="0" borderId="45" xfId="0" applyFont="1" applyBorder="1"/>
    <xf numFmtId="0" fontId="0" fillId="0" borderId="0" xfId="0" applyBorder="1" applyAlignment="1" applyProtection="1">
      <alignment horizontal="right" vertical="center" wrapText="1"/>
    </xf>
    <xf numFmtId="4" fontId="18" fillId="0" borderId="0" xfId="0" applyNumberFormat="1" applyFont="1" applyBorder="1" applyAlignment="1" applyProtection="1">
      <alignment horizontal="right" vertical="center"/>
    </xf>
    <xf numFmtId="4" fontId="18" fillId="0" borderId="16" xfId="0" applyNumberFormat="1" applyFont="1" applyBorder="1" applyAlignment="1" applyProtection="1">
      <alignment horizontal="right" vertical="center"/>
    </xf>
    <xf numFmtId="0" fontId="51" fillId="0" borderId="0" xfId="0" applyFont="1" applyAlignment="1" applyProtection="1">
      <alignment horizontal="center" vertical="center"/>
    </xf>
    <xf numFmtId="0" fontId="51" fillId="0" borderId="1" xfId="0" applyFont="1" applyBorder="1" applyAlignment="1" applyProtection="1">
      <alignment horizontal="center" vertical="center"/>
    </xf>
    <xf numFmtId="0" fontId="51" fillId="0" borderId="1" xfId="0" applyNumberFormat="1" applyFont="1" applyFill="1" applyBorder="1" applyAlignment="1" applyProtection="1">
      <alignment horizontal="center" vertical="center"/>
    </xf>
    <xf numFmtId="0" fontId="51" fillId="0" borderId="0" xfId="0" applyFont="1" applyBorder="1" applyAlignment="1" applyProtection="1">
      <alignment horizontal="center" vertical="center"/>
    </xf>
    <xf numFmtId="0" fontId="51" fillId="0" borderId="5" xfId="0" applyFont="1" applyBorder="1" applyAlignment="1" applyProtection="1">
      <alignment horizontal="right"/>
    </xf>
    <xf numFmtId="0" fontId="51" fillId="0" borderId="5" xfId="0" applyFont="1" applyBorder="1" applyAlignment="1" applyProtection="1">
      <alignment horizontal="right" vertical="center" wrapText="1"/>
    </xf>
    <xf numFmtId="4" fontId="18" fillId="0" borderId="44" xfId="0" applyNumberFormat="1" applyFont="1" applyBorder="1" applyAlignment="1" applyProtection="1">
      <alignment horizontal="right" vertical="center"/>
    </xf>
    <xf numFmtId="4" fontId="18" fillId="0" borderId="18" xfId="0" applyNumberFormat="1" applyFont="1" applyBorder="1" applyAlignment="1" applyProtection="1">
      <alignment horizontal="right" vertical="center"/>
    </xf>
    <xf numFmtId="0" fontId="51" fillId="0" borderId="3" xfId="0" applyFont="1" applyBorder="1" applyAlignment="1" applyProtection="1">
      <alignment horizontal="center" vertical="center"/>
    </xf>
    <xf numFmtId="4" fontId="18" fillId="0" borderId="23" xfId="0" applyNumberFormat="1" applyFont="1" applyBorder="1" applyAlignment="1" applyProtection="1">
      <alignment horizontal="right" vertical="center"/>
    </xf>
    <xf numFmtId="0" fontId="8" fillId="2" borderId="0" xfId="1" applyNumberFormat="1" applyFont="1" applyFill="1" applyAlignment="1" applyProtection="1">
      <alignment horizontal="left" vertical="center"/>
      <protection locked="0"/>
    </xf>
    <xf numFmtId="0" fontId="10" fillId="0" borderId="0" xfId="0" applyFont="1" applyAlignment="1" applyProtection="1">
      <alignment horizontal="left"/>
      <protection locked="0"/>
    </xf>
    <xf numFmtId="0" fontId="4" fillId="2" borderId="7" xfId="1" applyNumberFormat="1" applyFont="1" applyFill="1" applyBorder="1" applyAlignment="1" applyProtection="1">
      <alignment horizontal="center" vertical="center"/>
    </xf>
    <xf numFmtId="0" fontId="4" fillId="2" borderId="9" xfId="1" applyNumberFormat="1" applyFont="1" applyFill="1" applyBorder="1" applyAlignment="1" applyProtection="1">
      <alignment horizontal="center" vertical="center"/>
    </xf>
    <xf numFmtId="0" fontId="4" fillId="2" borderId="8" xfId="1" applyNumberFormat="1" applyFont="1" applyFill="1" applyBorder="1" applyAlignment="1" applyProtection="1">
      <alignment horizontal="center" vertical="center"/>
    </xf>
    <xf numFmtId="0" fontId="4" fillId="2" borderId="0" xfId="1" applyNumberFormat="1" applyFont="1" applyFill="1" applyBorder="1" applyAlignment="1" applyProtection="1">
      <alignment horizontal="center" vertical="center" wrapText="1"/>
    </xf>
    <xf numFmtId="0" fontId="4" fillId="2" borderId="0" xfId="1" applyNumberFormat="1" applyFont="1" applyFill="1" applyAlignment="1" applyProtection="1">
      <alignment horizontal="left" vertical="top" wrapText="1"/>
    </xf>
    <xf numFmtId="0" fontId="41" fillId="2" borderId="21" xfId="1" applyNumberFormat="1" applyFont="1" applyFill="1" applyBorder="1" applyAlignment="1" applyProtection="1">
      <alignment horizontal="center" vertical="center" wrapText="1"/>
    </xf>
    <xf numFmtId="0" fontId="24" fillId="0" borderId="21" xfId="0" applyFont="1" applyBorder="1" applyAlignment="1" applyProtection="1">
      <alignment horizontal="center" vertical="center" wrapText="1"/>
    </xf>
    <xf numFmtId="0" fontId="18" fillId="0" borderId="0" xfId="0" applyFont="1" applyAlignment="1" applyProtection="1">
      <alignment horizontal="right" vertical="center" wrapText="1"/>
    </xf>
    <xf numFmtId="0" fontId="18" fillId="0" borderId="5" xfId="0" applyFont="1" applyBorder="1" applyAlignment="1" applyProtection="1">
      <alignment horizontal="right" vertical="center" wrapText="1"/>
    </xf>
    <xf numFmtId="0" fontId="4" fillId="2" borderId="0" xfId="1" applyNumberFormat="1" applyFont="1" applyFill="1" applyAlignment="1" applyProtection="1">
      <alignment horizontal="right" vertical="center" wrapText="1"/>
    </xf>
    <xf numFmtId="0" fontId="0" fillId="0" borderId="0" xfId="0" applyAlignment="1" applyProtection="1">
      <alignment horizontal="right" vertical="center" wrapText="1"/>
    </xf>
    <xf numFmtId="0" fontId="4" fillId="4" borderId="7" xfId="1" applyNumberFormat="1" applyFont="1" applyFill="1" applyBorder="1" applyAlignment="1" applyProtection="1">
      <alignment horizontal="center" vertical="center"/>
    </xf>
    <xf numFmtId="0" fontId="4" fillId="4" borderId="9" xfId="1" applyNumberFormat="1" applyFont="1" applyFill="1" applyBorder="1" applyAlignment="1" applyProtection="1">
      <alignment horizontal="center" vertical="center"/>
    </xf>
    <xf numFmtId="0" fontId="4" fillId="4" borderId="8" xfId="1" applyNumberFormat="1" applyFont="1" applyFill="1" applyBorder="1" applyAlignment="1" applyProtection="1">
      <alignment horizontal="center" vertical="center"/>
    </xf>
    <xf numFmtId="0" fontId="4" fillId="2" borderId="0" xfId="1" applyNumberFormat="1" applyFont="1" applyFill="1" applyBorder="1" applyAlignment="1" applyProtection="1">
      <alignment horizontal="center" vertical="top"/>
    </xf>
    <xf numFmtId="0" fontId="4" fillId="2" borderId="0" xfId="1" applyNumberFormat="1" applyFont="1" applyFill="1" applyBorder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0" fontId="6" fillId="2" borderId="0" xfId="1" applyNumberFormat="1" applyFont="1" applyFill="1" applyAlignment="1" applyProtection="1">
      <alignment horizontal="center" vertical="center" wrapText="1"/>
    </xf>
    <xf numFmtId="0" fontId="52" fillId="0" borderId="0" xfId="0" applyFont="1" applyAlignment="1" applyProtection="1">
      <alignment horizontal="center" vertical="center" wrapText="1"/>
    </xf>
    <xf numFmtId="0" fontId="4" fillId="2" borderId="7" xfId="1" applyNumberFormat="1" applyFont="1" applyFill="1" applyBorder="1" applyAlignment="1" applyProtection="1">
      <alignment horizontal="center" vertical="center" wrapText="1"/>
    </xf>
    <xf numFmtId="0" fontId="0" fillId="0" borderId="9" xfId="0" applyBorder="1" applyAlignment="1" applyProtection="1">
      <alignment horizontal="center" vertical="center" wrapText="1"/>
    </xf>
    <xf numFmtId="0" fontId="0" fillId="0" borderId="8" xfId="0" applyBorder="1" applyAlignment="1" applyProtection="1">
      <alignment horizontal="center" vertical="center" wrapText="1"/>
    </xf>
    <xf numFmtId="0" fontId="25" fillId="0" borderId="0" xfId="0" applyFont="1" applyAlignment="1" applyProtection="1">
      <alignment horizontal="right" vertical="center"/>
    </xf>
    <xf numFmtId="0" fontId="25" fillId="0" borderId="5" xfId="0" applyFont="1" applyBorder="1" applyAlignment="1" applyProtection="1">
      <alignment horizontal="right" vertical="center"/>
    </xf>
    <xf numFmtId="0" fontId="20" fillId="0" borderId="21" xfId="0" applyNumberFormat="1" applyFont="1" applyBorder="1" applyAlignment="1" applyProtection="1">
      <alignment horizontal="center" vertical="center" wrapText="1"/>
    </xf>
    <xf numFmtId="0" fontId="23" fillId="0" borderId="21" xfId="0" applyNumberFormat="1" applyFont="1" applyBorder="1" applyAlignment="1" applyProtection="1">
      <alignment horizontal="center" vertical="center" wrapText="1"/>
    </xf>
    <xf numFmtId="0" fontId="0" fillId="0" borderId="21" xfId="0" applyNumberFormat="1" applyBorder="1" applyAlignment="1" applyProtection="1">
      <alignment horizontal="center" vertical="center" wrapText="1"/>
    </xf>
    <xf numFmtId="0" fontId="17" fillId="0" borderId="0" xfId="0" applyFont="1" applyAlignment="1" applyProtection="1">
      <alignment horizontal="right" vertical="center" wrapText="1"/>
    </xf>
    <xf numFmtId="0" fontId="10" fillId="0" borderId="0" xfId="0" applyFont="1" applyAlignment="1" applyProtection="1">
      <alignment horizontal="right" vertical="center" wrapText="1"/>
    </xf>
    <xf numFmtId="0" fontId="10" fillId="0" borderId="5" xfId="0" applyFont="1" applyBorder="1" applyAlignment="1" applyProtection="1">
      <alignment horizontal="right" vertical="center" wrapText="1"/>
    </xf>
    <xf numFmtId="0" fontId="40" fillId="2" borderId="7" xfId="1" applyNumberFormat="1" applyFont="1" applyFill="1" applyBorder="1" applyAlignment="1" applyProtection="1">
      <alignment horizontal="center" vertical="center" wrapText="1"/>
    </xf>
    <xf numFmtId="0" fontId="23" fillId="0" borderId="9" xfId="0" applyNumberFormat="1" applyFont="1" applyBorder="1" applyAlignment="1" applyProtection="1">
      <alignment horizontal="center" vertical="center" wrapText="1"/>
    </xf>
    <xf numFmtId="0" fontId="23" fillId="0" borderId="8" xfId="0" applyNumberFormat="1" applyFont="1" applyBorder="1" applyAlignment="1" applyProtection="1">
      <alignment horizontal="center" vertical="center" wrapText="1"/>
    </xf>
    <xf numFmtId="0" fontId="18" fillId="0" borderId="0" xfId="0" applyFont="1" applyAlignment="1" applyProtection="1">
      <alignment horizontal="center" vertical="center" wrapText="1"/>
    </xf>
    <xf numFmtId="0" fontId="0" fillId="0" borderId="0" xfId="0" applyAlignment="1" applyProtection="1">
      <alignment horizontal="center" vertical="center" wrapText="1"/>
    </xf>
    <xf numFmtId="0" fontId="4" fillId="2" borderId="0" xfId="1" applyNumberFormat="1" applyFont="1" applyFill="1" applyAlignment="1" applyProtection="1">
      <alignment horizontal="left" vertical="center" wrapText="1"/>
    </xf>
    <xf numFmtId="0" fontId="0" fillId="0" borderId="0" xfId="0" applyAlignment="1" applyProtection="1">
      <alignment vertical="center" wrapText="1"/>
    </xf>
    <xf numFmtId="0" fontId="20" fillId="0" borderId="0" xfId="0" applyFont="1" applyBorder="1" applyAlignment="1" applyProtection="1">
      <alignment horizontal="center" vertical="center" wrapText="1"/>
    </xf>
    <xf numFmtId="0" fontId="0" fillId="0" borderId="0" xfId="0" applyAlignment="1" applyProtection="1">
      <alignment wrapText="1"/>
    </xf>
    <xf numFmtId="0" fontId="17" fillId="0" borderId="2" xfId="0" applyFont="1" applyBorder="1" applyAlignment="1" applyProtection="1">
      <alignment horizontal="center" vertical="center" wrapText="1"/>
    </xf>
    <xf numFmtId="0" fontId="10" fillId="0" borderId="2" xfId="0" applyFont="1" applyBorder="1" applyAlignment="1" applyProtection="1">
      <alignment horizontal="center" vertical="center" wrapText="1"/>
    </xf>
    <xf numFmtId="0" fontId="10" fillId="0" borderId="6" xfId="0" applyFont="1" applyBorder="1" applyAlignment="1" applyProtection="1">
      <alignment horizontal="center" vertical="center" wrapText="1"/>
    </xf>
    <xf numFmtId="0" fontId="4" fillId="2" borderId="0" xfId="1" applyNumberFormat="1" applyFont="1" applyFill="1" applyAlignment="1" applyProtection="1">
      <alignment horizontal="right"/>
    </xf>
    <xf numFmtId="0" fontId="4" fillId="2" borderId="0" xfId="1" applyNumberFormat="1" applyFont="1" applyFill="1" applyBorder="1" applyAlignment="1" applyProtection="1">
      <alignment horizontal="center"/>
    </xf>
    <xf numFmtId="0" fontId="4" fillId="2" borderId="0" xfId="1" applyNumberFormat="1" applyFont="1" applyFill="1" applyBorder="1" applyProtection="1"/>
    <xf numFmtId="0" fontId="4" fillId="2" borderId="7" xfId="1" applyFont="1" applyFill="1" applyBorder="1" applyAlignment="1" applyProtection="1">
      <alignment horizontal="center" vertical="center" wrapText="1"/>
    </xf>
    <xf numFmtId="0" fontId="17" fillId="0" borderId="0" xfId="0" applyFont="1" applyBorder="1" applyAlignment="1" applyProtection="1">
      <alignment horizontal="right" vertical="center" wrapText="1"/>
    </xf>
    <xf numFmtId="0" fontId="10" fillId="0" borderId="0" xfId="0" applyFont="1" applyBorder="1" applyAlignment="1" applyProtection="1">
      <alignment horizontal="right" vertical="center" wrapText="1"/>
    </xf>
    <xf numFmtId="0" fontId="19" fillId="0" borderId="0" xfId="0" applyFont="1" applyBorder="1" applyAlignment="1" applyProtection="1">
      <alignment horizontal="center" vertical="center" wrapText="1"/>
    </xf>
    <xf numFmtId="0" fontId="45" fillId="0" borderId="0" xfId="0" applyFont="1" applyBorder="1" applyAlignment="1" applyProtection="1">
      <alignment vertical="center" wrapText="1"/>
    </xf>
    <xf numFmtId="0" fontId="45" fillId="0" borderId="2" xfId="0" applyFont="1" applyBorder="1" applyAlignment="1" applyProtection="1">
      <alignment vertical="center" wrapText="1"/>
    </xf>
    <xf numFmtId="0" fontId="18" fillId="0" borderId="0" xfId="0" applyFont="1" applyBorder="1" applyAlignment="1" applyProtection="1">
      <alignment horizontal="center" vertical="center" wrapText="1"/>
    </xf>
    <xf numFmtId="0" fontId="0" fillId="0" borderId="0" xfId="0" applyFont="1" applyBorder="1" applyAlignment="1" applyProtection="1">
      <alignment wrapText="1"/>
    </xf>
    <xf numFmtId="0" fontId="0" fillId="0" borderId="2" xfId="0" applyFont="1" applyBorder="1" applyAlignment="1" applyProtection="1">
      <alignment wrapText="1"/>
    </xf>
    <xf numFmtId="0" fontId="4" fillId="2" borderId="0" xfId="1" applyNumberFormat="1" applyFont="1" applyFill="1" applyProtection="1"/>
    <xf numFmtId="0" fontId="4" fillId="2" borderId="2" xfId="1" applyNumberFormat="1" applyFont="1" applyFill="1" applyBorder="1" applyAlignment="1" applyProtection="1">
      <alignment horizontal="center"/>
    </xf>
    <xf numFmtId="0" fontId="5" fillId="2" borderId="0" xfId="1" applyNumberFormat="1" applyFont="1" applyFill="1" applyBorder="1" applyAlignment="1" applyProtection="1">
      <alignment horizontal="center" vertical="top"/>
    </xf>
    <xf numFmtId="0" fontId="50" fillId="2" borderId="0" xfId="1" applyNumberFormat="1" applyFont="1" applyFill="1" applyBorder="1" applyAlignment="1" applyProtection="1">
      <alignment horizontal="center" vertical="top"/>
    </xf>
    <xf numFmtId="0" fontId="8" fillId="2" borderId="0" xfId="1" applyNumberFormat="1" applyFont="1" applyFill="1" applyAlignment="1" applyProtection="1">
      <alignment horizontal="center" vertical="center" wrapText="1"/>
    </xf>
    <xf numFmtId="0" fontId="4" fillId="2" borderId="0" xfId="1" applyNumberFormat="1" applyFont="1" applyFill="1" applyAlignment="1" applyProtection="1">
      <alignment horizontal="center" vertical="center" wrapText="1"/>
    </xf>
    <xf numFmtId="0" fontId="4" fillId="2" borderId="0" xfId="1" applyNumberFormat="1" applyFont="1" applyFill="1" applyAlignment="1" applyProtection="1">
      <alignment horizontal="left" wrapText="1"/>
    </xf>
    <xf numFmtId="0" fontId="0" fillId="0" borderId="0" xfId="0" applyAlignment="1" applyProtection="1">
      <alignment horizontal="left" wrapText="1"/>
    </xf>
    <xf numFmtId="0" fontId="8" fillId="2" borderId="0" xfId="1" applyNumberFormat="1" applyFont="1" applyFill="1" applyAlignment="1" applyProtection="1">
      <alignment horizontal="center"/>
    </xf>
    <xf numFmtId="0" fontId="4" fillId="2" borderId="0" xfId="1" applyNumberFormat="1" applyFont="1" applyFill="1" applyAlignment="1" applyProtection="1">
      <alignment horizontal="center"/>
    </xf>
    <xf numFmtId="0" fontId="4" fillId="2" borderId="21" xfId="1" applyNumberFormat="1" applyFont="1" applyFill="1" applyBorder="1" applyAlignment="1" applyProtection="1">
      <alignment horizontal="center" wrapText="1"/>
    </xf>
    <xf numFmtId="0" fontId="4" fillId="2" borderId="0" xfId="1" applyNumberFormat="1" applyFont="1" applyFill="1" applyBorder="1" applyAlignment="1" applyProtection="1">
      <alignment horizontal="center" vertical="top" wrapText="1"/>
    </xf>
    <xf numFmtId="0" fontId="10" fillId="0" borderId="0" xfId="0" applyFont="1" applyBorder="1" applyAlignment="1" applyProtection="1">
      <alignment wrapText="1"/>
    </xf>
    <xf numFmtId="0" fontId="4" fillId="2" borderId="21" xfId="1" applyNumberFormat="1" applyFont="1" applyFill="1" applyBorder="1" applyAlignment="1" applyProtection="1">
      <alignment horizontal="center"/>
    </xf>
    <xf numFmtId="0" fontId="5" fillId="2" borderId="0" xfId="1" applyNumberFormat="1" applyFont="1" applyFill="1" applyBorder="1" applyAlignment="1" applyProtection="1">
      <alignment horizontal="center" vertical="top" wrapText="1"/>
    </xf>
    <xf numFmtId="0" fontId="6" fillId="2" borderId="21" xfId="1" applyNumberFormat="1" applyFont="1" applyFill="1" applyBorder="1" applyAlignment="1" applyProtection="1">
      <alignment horizontal="center"/>
    </xf>
    <xf numFmtId="0" fontId="4" fillId="2" borderId="0" xfId="1" applyNumberFormat="1" applyFont="1" applyFill="1" applyBorder="1" applyAlignment="1" applyProtection="1">
      <alignment horizontal="right"/>
    </xf>
    <xf numFmtId="0" fontId="4" fillId="2" borderId="2" xfId="1" applyNumberFormat="1" applyFont="1" applyFill="1" applyBorder="1" applyAlignment="1" applyProtection="1">
      <alignment horizontal="left"/>
    </xf>
    <xf numFmtId="0" fontId="10" fillId="0" borderId="0" xfId="0" applyFont="1" applyAlignment="1" applyProtection="1">
      <alignment horizontal="center" vertical="center"/>
    </xf>
    <xf numFmtId="49" fontId="4" fillId="2" borderId="0" xfId="1" applyNumberFormat="1" applyFont="1" applyFill="1" applyBorder="1" applyAlignment="1" applyProtection="1">
      <alignment horizontal="left"/>
    </xf>
    <xf numFmtId="0" fontId="21" fillId="0" borderId="0" xfId="0" applyFont="1" applyAlignment="1" applyProtection="1">
      <alignment horizontal="center" vertical="center" wrapText="1"/>
    </xf>
    <xf numFmtId="0" fontId="17" fillId="0" borderId="0" xfId="0" applyNumberFormat="1" applyFont="1" applyAlignment="1" applyProtection="1">
      <alignment horizontal="center" vertical="center" wrapText="1"/>
    </xf>
    <xf numFmtId="0" fontId="17" fillId="0" borderId="0" xfId="0" applyFont="1" applyAlignment="1" applyProtection="1">
      <alignment horizontal="center" vertical="center" wrapText="1"/>
    </xf>
    <xf numFmtId="0" fontId="38" fillId="0" borderId="0" xfId="0" applyFont="1" applyBorder="1" applyAlignment="1" applyProtection="1">
      <alignment horizontal="center" vertical="center" wrapText="1"/>
    </xf>
    <xf numFmtId="0" fontId="4" fillId="2" borderId="0" xfId="1" applyFont="1" applyFill="1" applyBorder="1" applyAlignment="1" applyProtection="1">
      <alignment horizontal="center" vertical="center" wrapText="1"/>
    </xf>
    <xf numFmtId="0" fontId="0" fillId="0" borderId="0" xfId="0" applyBorder="1" applyAlignment="1" applyProtection="1">
      <alignment horizontal="center" vertical="center" wrapText="1"/>
    </xf>
    <xf numFmtId="0" fontId="4" fillId="0" borderId="0" xfId="1" applyFont="1" applyFill="1" applyBorder="1" applyAlignment="1" applyProtection="1">
      <alignment horizontal="center" vertical="center" wrapText="1"/>
    </xf>
    <xf numFmtId="0" fontId="0" fillId="0" borderId="0" xfId="0" applyFill="1" applyBorder="1" applyAlignment="1" applyProtection="1">
      <alignment horizontal="center" vertical="center" wrapText="1"/>
    </xf>
    <xf numFmtId="0" fontId="4" fillId="2" borderId="0" xfId="1" applyNumberFormat="1" applyFont="1" applyFill="1" applyAlignment="1" applyProtection="1">
      <protection locked="0"/>
    </xf>
    <xf numFmtId="0" fontId="0" fillId="0" borderId="0" xfId="0" applyAlignment="1" applyProtection="1">
      <protection locked="0"/>
    </xf>
    <xf numFmtId="0" fontId="38" fillId="0" borderId="15" xfId="0" applyFont="1" applyBorder="1" applyAlignment="1" applyProtection="1">
      <alignment horizontal="center" vertical="center" wrapText="1"/>
    </xf>
    <xf numFmtId="0" fontId="0" fillId="0" borderId="0" xfId="0" applyBorder="1" applyAlignment="1" applyProtection="1">
      <alignment horizontal="center" wrapText="1"/>
    </xf>
    <xf numFmtId="0" fontId="6" fillId="2" borderId="0" xfId="0" applyNumberFormat="1" applyFont="1" applyFill="1" applyAlignment="1" applyProtection="1">
      <alignment horizontal="center"/>
    </xf>
    <xf numFmtId="0" fontId="26" fillId="0" borderId="0" xfId="1" applyNumberFormat="1" applyFont="1" applyFill="1" applyAlignment="1" applyProtection="1">
      <alignment horizontal="center" vertical="center" wrapText="1"/>
    </xf>
    <xf numFmtId="0" fontId="28" fillId="0" borderId="0" xfId="0" applyFont="1" applyFill="1" applyAlignment="1" applyProtection="1">
      <alignment horizontal="center" vertical="center" wrapText="1"/>
    </xf>
    <xf numFmtId="0" fontId="28" fillId="0" borderId="0" xfId="0" applyFont="1" applyFill="1" applyAlignment="1" applyProtection="1">
      <alignment wrapText="1"/>
    </xf>
    <xf numFmtId="0" fontId="6" fillId="2" borderId="0" xfId="1" applyNumberFormat="1" applyFont="1" applyFill="1" applyAlignment="1" applyProtection="1">
      <alignment horizontal="center"/>
    </xf>
    <xf numFmtId="0" fontId="36" fillId="0" borderId="0" xfId="0" applyFont="1" applyAlignment="1" applyProtection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53" fillId="0" borderId="0" xfId="0" applyNumberFormat="1" applyFont="1" applyFill="1" applyBorder="1" applyAlignment="1" applyProtection="1">
      <alignment horizontal="center" vertical="center" wrapText="1"/>
    </xf>
    <xf numFmtId="0" fontId="54" fillId="0" borderId="0" xfId="0" applyFont="1" applyAlignment="1">
      <alignment horizontal="center" vertical="center" wrapText="1"/>
    </xf>
    <xf numFmtId="0" fontId="53" fillId="0" borderId="0" xfId="0" applyFont="1" applyAlignment="1" applyProtection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0" fontId="36" fillId="0" borderId="0" xfId="0" applyNumberFormat="1" applyFont="1" applyFill="1" applyBorder="1" applyAlignment="1" applyProtection="1">
      <alignment horizontal="right" wrapText="1"/>
    </xf>
    <xf numFmtId="0" fontId="0" fillId="0" borderId="0" xfId="0" applyAlignment="1">
      <alignment wrapText="1"/>
    </xf>
    <xf numFmtId="0" fontId="27" fillId="0" borderId="0" xfId="0" applyNumberFormat="1" applyFont="1" applyBorder="1" applyAlignment="1" applyProtection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7" fillId="0" borderId="30" xfId="0" applyFont="1" applyBorder="1" applyAlignment="1">
      <alignment horizontal="center" vertical="center" textRotation="90" wrapText="1"/>
    </xf>
    <xf numFmtId="0" fontId="0" fillId="0" borderId="40" xfId="0" applyBorder="1" applyAlignment="1">
      <alignment horizontal="center" vertical="center" textRotation="90" wrapText="1"/>
    </xf>
    <xf numFmtId="0" fontId="0" fillId="0" borderId="41" xfId="0" applyBorder="1" applyAlignment="1">
      <alignment horizontal="center" vertical="center" textRotation="90" wrapText="1"/>
    </xf>
    <xf numFmtId="0" fontId="18" fillId="0" borderId="20" xfId="0" applyFont="1" applyBorder="1" applyAlignment="1" applyProtection="1">
      <alignment horizontal="center" vertical="center" wrapText="1"/>
    </xf>
    <xf numFmtId="0" fontId="18" fillId="0" borderId="16" xfId="0" applyFont="1" applyBorder="1" applyAlignment="1">
      <alignment horizontal="center" vertical="center" wrapText="1"/>
    </xf>
    <xf numFmtId="0" fontId="0" fillId="0" borderId="23" xfId="0" applyFont="1" applyBorder="1" applyAlignment="1">
      <alignment horizontal="center" vertical="center" wrapText="1"/>
    </xf>
    <xf numFmtId="0" fontId="0" fillId="0" borderId="21" xfId="0" applyFont="1" applyBorder="1" applyAlignment="1">
      <alignment horizontal="center" vertical="center" wrapText="1"/>
    </xf>
    <xf numFmtId="0" fontId="17" fillId="0" borderId="17" xfId="0" applyFont="1" applyBorder="1" applyAlignment="1">
      <alignment horizontal="center" vertical="center" textRotation="90" wrapText="1"/>
    </xf>
    <xf numFmtId="0" fontId="10" fillId="0" borderId="18" xfId="0" applyFont="1" applyBorder="1" applyAlignment="1">
      <alignment horizontal="center" vertical="center" textRotation="90" wrapText="1"/>
    </xf>
    <xf numFmtId="0" fontId="17" fillId="0" borderId="20" xfId="0" applyFont="1" applyFill="1" applyBorder="1" applyAlignment="1">
      <alignment horizontal="center" vertical="center" textRotation="90" wrapText="1"/>
    </xf>
    <xf numFmtId="0" fontId="10" fillId="0" borderId="23" xfId="0" applyFont="1" applyFill="1" applyBorder="1" applyAlignment="1">
      <alignment horizontal="center" vertical="center" textRotation="90" wrapText="1"/>
    </xf>
    <xf numFmtId="0" fontId="49" fillId="0" borderId="12" xfId="0" applyFont="1" applyBorder="1" applyAlignment="1" applyProtection="1">
      <alignment horizontal="center" vertical="center" wrapText="1"/>
    </xf>
    <xf numFmtId="0" fontId="19" fillId="0" borderId="12" xfId="0" applyFont="1" applyBorder="1" applyAlignment="1">
      <alignment horizontal="center" vertical="center" wrapText="1"/>
    </xf>
    <xf numFmtId="0" fontId="19" fillId="0" borderId="12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49" fillId="0" borderId="0" xfId="0" applyNumberFormat="1" applyFont="1" applyFill="1" applyBorder="1" applyAlignment="1" applyProtection="1">
      <alignment horizontal="center" vertical="top" wrapText="1"/>
    </xf>
    <xf numFmtId="0" fontId="49" fillId="0" borderId="16" xfId="0" applyNumberFormat="1" applyFont="1" applyFill="1" applyBorder="1" applyAlignment="1" applyProtection="1">
      <alignment horizontal="center" vertical="top" wrapText="1"/>
    </xf>
    <xf numFmtId="0" fontId="27" fillId="0" borderId="0" xfId="0" applyNumberFormat="1" applyFont="1" applyFill="1" applyBorder="1" applyAlignment="1" applyProtection="1">
      <alignment horizontal="center" vertical="center" wrapText="1"/>
    </xf>
    <xf numFmtId="0" fontId="33" fillId="0" borderId="0" xfId="0" applyFont="1" applyBorder="1" applyAlignment="1" applyProtection="1">
      <alignment horizontal="center" vertical="center" wrapText="1"/>
    </xf>
    <xf numFmtId="0" fontId="33" fillId="0" borderId="21" xfId="0" applyFont="1" applyBorder="1" applyAlignment="1" applyProtection="1">
      <alignment horizontal="center" vertical="center" wrapText="1"/>
    </xf>
    <xf numFmtId="0" fontId="0" fillId="0" borderId="0" xfId="0" applyFont="1" applyBorder="1" applyAlignment="1">
      <alignment horizontal="right" wrapText="1"/>
    </xf>
    <xf numFmtId="0" fontId="0" fillId="0" borderId="0" xfId="0" applyFont="1" applyAlignment="1">
      <alignment horizontal="right" wrapText="1"/>
    </xf>
    <xf numFmtId="0" fontId="1" fillId="0" borderId="12" xfId="0" applyFont="1" applyBorder="1" applyAlignment="1" applyProtection="1">
      <alignment horizontal="center" vertical="center" wrapText="1"/>
    </xf>
    <xf numFmtId="0" fontId="49" fillId="0" borderId="14" xfId="0" applyFont="1" applyBorder="1" applyAlignment="1" applyProtection="1">
      <alignment horizontal="center" vertical="center" wrapText="1"/>
    </xf>
    <xf numFmtId="0" fontId="19" fillId="0" borderId="14" xfId="0" applyFont="1" applyBorder="1" applyAlignment="1">
      <alignment horizontal="center" vertical="center" wrapText="1"/>
    </xf>
    <xf numFmtId="0" fontId="49" fillId="0" borderId="27" xfId="0" applyFont="1" applyBorder="1" applyAlignment="1" applyProtection="1">
      <alignment horizontal="center" vertical="center" wrapText="1"/>
    </xf>
    <xf numFmtId="0" fontId="19" fillId="0" borderId="27" xfId="0" applyFont="1" applyBorder="1" applyAlignment="1">
      <alignment horizontal="center" vertical="center" wrapText="1"/>
    </xf>
    <xf numFmtId="0" fontId="49" fillId="0" borderId="28" xfId="0" applyFont="1" applyBorder="1" applyAlignment="1" applyProtection="1">
      <alignment horizontal="center" vertical="center" wrapText="1"/>
    </xf>
    <xf numFmtId="0" fontId="19" fillId="0" borderId="28" xfId="0" applyFont="1" applyBorder="1" applyAlignment="1">
      <alignment horizontal="center" vertical="center" wrapText="1"/>
    </xf>
    <xf numFmtId="0" fontId="36" fillId="0" borderId="0" xfId="0" applyNumberFormat="1" applyFont="1" applyFill="1" applyBorder="1" applyAlignment="1" applyProtection="1">
      <alignment horizontal="left" wrapText="1"/>
    </xf>
    <xf numFmtId="0" fontId="0" fillId="0" borderId="0" xfId="0" applyAlignment="1">
      <alignment horizontal="left" wrapText="1"/>
    </xf>
    <xf numFmtId="0" fontId="36" fillId="0" borderId="0" xfId="0" applyFont="1" applyAlignment="1" applyProtection="1">
      <alignment horizontal="center" vertical="center" wrapText="1"/>
      <protection locked="0"/>
    </xf>
    <xf numFmtId="0" fontId="18" fillId="0" borderId="0" xfId="0" applyFont="1" applyAlignment="1" applyProtection="1">
      <alignment wrapText="1"/>
      <protection locked="0"/>
    </xf>
    <xf numFmtId="0" fontId="1" fillId="0" borderId="24" xfId="0" applyFont="1" applyBorder="1" applyAlignment="1" applyProtection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28" xfId="0" applyBorder="1" applyAlignment="1">
      <alignment horizontal="center" vertical="center" wrapText="1"/>
    </xf>
    <xf numFmtId="0" fontId="1" fillId="0" borderId="14" xfId="0" applyFont="1" applyBorder="1" applyAlignment="1" applyProtection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32" fillId="0" borderId="0" xfId="0" applyFont="1" applyAlignment="1" applyProtection="1">
      <alignment horizontal="center" vertical="center" wrapText="1"/>
    </xf>
    <xf numFmtId="0" fontId="19" fillId="0" borderId="0" xfId="0" applyFont="1" applyBorder="1" applyAlignment="1">
      <alignment horizontal="center" vertical="top"/>
    </xf>
    <xf numFmtId="0" fontId="19" fillId="0" borderId="0" xfId="0" applyFont="1" applyBorder="1" applyAlignment="1">
      <alignment vertical="top"/>
    </xf>
    <xf numFmtId="0" fontId="17" fillId="0" borderId="0" xfId="0" applyFont="1" applyBorder="1" applyAlignment="1">
      <alignment horizontal="center"/>
    </xf>
    <xf numFmtId="0" fontId="17" fillId="0" borderId="0" xfId="0" applyFont="1" applyBorder="1" applyAlignment="1"/>
    <xf numFmtId="0" fontId="17" fillId="0" borderId="21" xfId="0" applyFont="1" applyBorder="1" applyAlignment="1"/>
    <xf numFmtId="0" fontId="34" fillId="0" borderId="0" xfId="0" applyFont="1" applyBorder="1" applyAlignment="1">
      <alignment horizontal="center" vertical="center"/>
    </xf>
    <xf numFmtId="0" fontId="34" fillId="0" borderId="0" xfId="0" applyFont="1" applyBorder="1" applyAlignment="1">
      <alignment vertical="center"/>
    </xf>
    <xf numFmtId="0" fontId="34" fillId="0" borderId="21" xfId="0" applyFont="1" applyBorder="1" applyAlignment="1">
      <alignment vertical="center"/>
    </xf>
    <xf numFmtId="0" fontId="17" fillId="0" borderId="0" xfId="0" applyFont="1" applyAlignment="1">
      <alignment horizontal="left" wrapText="1"/>
    </xf>
    <xf numFmtId="0" fontId="17" fillId="0" borderId="0" xfId="0" applyFont="1" applyAlignment="1">
      <alignment wrapText="1"/>
    </xf>
    <xf numFmtId="0" fontId="17" fillId="0" borderId="0" xfId="0" applyNumberFormat="1" applyFont="1" applyAlignment="1">
      <alignment horizontal="left" wrapText="1"/>
    </xf>
    <xf numFmtId="0" fontId="17" fillId="0" borderId="0" xfId="0" applyNumberFormat="1" applyFont="1" applyAlignment="1">
      <alignment wrapText="1"/>
    </xf>
    <xf numFmtId="0" fontId="18" fillId="0" borderId="0" xfId="0" applyFont="1" applyAlignment="1">
      <alignment horizontal="right" wrapText="1"/>
    </xf>
    <xf numFmtId="0" fontId="17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1" fillId="0" borderId="0" xfId="0" applyFont="1" applyAlignment="1">
      <alignment horizontal="center" vertical="center"/>
    </xf>
    <xf numFmtId="0" fontId="17" fillId="0" borderId="12" xfId="0" applyFont="1" applyBorder="1" applyAlignment="1">
      <alignment horizontal="center" vertical="center"/>
    </xf>
    <xf numFmtId="0" fontId="17" fillId="0" borderId="12" xfId="0" applyFont="1" applyBorder="1" applyAlignment="1">
      <alignment horizontal="center" vertical="center" wrapText="1"/>
    </xf>
    <xf numFmtId="0" fontId="19" fillId="0" borderId="0" xfId="0" applyFont="1" applyBorder="1" applyAlignment="1">
      <alignment horizontal="center" vertical="top" wrapText="1"/>
    </xf>
    <xf numFmtId="0" fontId="19" fillId="0" borderId="0" xfId="0" applyFont="1" applyBorder="1" applyAlignment="1">
      <alignment vertical="top" wrapText="1"/>
    </xf>
    <xf numFmtId="0" fontId="35" fillId="0" borderId="0" xfId="0" applyFont="1" applyBorder="1" applyAlignment="1" applyProtection="1">
      <alignment horizontal="center" vertical="center" wrapText="1"/>
    </xf>
    <xf numFmtId="0" fontId="19" fillId="0" borderId="0" xfId="0" applyFont="1" applyAlignment="1" applyProtection="1">
      <alignment horizontal="center" vertical="center" wrapText="1"/>
    </xf>
    <xf numFmtId="0" fontId="25" fillId="0" borderId="0" xfId="0" applyFont="1" applyBorder="1" applyAlignment="1" applyProtection="1">
      <alignment horizontal="center" vertical="center" wrapText="1"/>
    </xf>
    <xf numFmtId="0" fontId="56" fillId="0" borderId="0" xfId="0" applyFont="1" applyAlignment="1">
      <alignment wrapText="1"/>
    </xf>
    <xf numFmtId="0" fontId="51" fillId="0" borderId="17" xfId="0" applyFont="1" applyBorder="1" applyAlignment="1" applyProtection="1">
      <alignment horizontal="center" vertical="center" textRotation="90" wrapText="1"/>
    </xf>
    <xf numFmtId="0" fontId="52" fillId="0" borderId="43" xfId="0" applyFont="1" applyBorder="1" applyAlignment="1">
      <alignment textRotation="90" wrapText="1"/>
    </xf>
    <xf numFmtId="0" fontId="52" fillId="0" borderId="18" xfId="0" applyFont="1" applyBorder="1" applyAlignment="1">
      <alignment textRotation="90" wrapText="1"/>
    </xf>
    <xf numFmtId="0" fontId="52" fillId="0" borderId="43" xfId="0" applyFont="1" applyBorder="1" applyAlignment="1">
      <alignment horizontal="center" wrapText="1"/>
    </xf>
    <xf numFmtId="0" fontId="52" fillId="0" borderId="18" xfId="0" applyFont="1" applyBorder="1" applyAlignment="1">
      <alignment horizontal="center" wrapText="1"/>
    </xf>
    <xf numFmtId="0" fontId="52" fillId="0" borderId="43" xfId="0" applyFont="1" applyBorder="1" applyAlignment="1">
      <alignment wrapText="1"/>
    </xf>
    <xf numFmtId="0" fontId="52" fillId="0" borderId="18" xfId="0" applyFont="1" applyBorder="1" applyAlignment="1">
      <alignment wrapText="1"/>
    </xf>
    <xf numFmtId="0" fontId="18" fillId="0" borderId="17" xfId="0" applyFont="1" applyBorder="1" applyAlignment="1" applyProtection="1">
      <alignment horizontal="center" vertical="center" textRotation="90" wrapText="1"/>
    </xf>
    <xf numFmtId="0" fontId="0" fillId="0" borderId="43" xfId="0" applyBorder="1" applyAlignment="1">
      <alignment wrapText="1"/>
    </xf>
    <xf numFmtId="0" fontId="0" fillId="0" borderId="18" xfId="0" applyBorder="1" applyAlignment="1">
      <alignment wrapText="1"/>
    </xf>
    <xf numFmtId="0" fontId="51" fillId="0" borderId="17" xfId="0" applyFont="1" applyBorder="1" applyAlignment="1" applyProtection="1">
      <alignment horizontal="center" vertical="center" wrapText="1"/>
    </xf>
    <xf numFmtId="0" fontId="18" fillId="0" borderId="0" xfId="0" applyFont="1" applyBorder="1" applyAlignment="1" applyProtection="1">
      <alignment horizontal="right" vertical="center" wrapText="1"/>
    </xf>
    <xf numFmtId="0" fontId="18" fillId="0" borderId="46" xfId="0" applyFont="1" applyBorder="1" applyAlignment="1" applyProtection="1">
      <alignment horizontal="right" vertical="center" wrapText="1"/>
    </xf>
    <xf numFmtId="0" fontId="17" fillId="0" borderId="12" xfId="0" applyFont="1" applyBorder="1" applyAlignment="1" applyProtection="1">
      <alignment horizontal="center" vertical="center" wrapText="1"/>
    </xf>
    <xf numFmtId="0" fontId="18" fillId="0" borderId="12" xfId="0" applyFont="1" applyBorder="1" applyAlignment="1" applyProtection="1">
      <alignment wrapText="1"/>
    </xf>
    <xf numFmtId="0" fontId="55" fillId="0" borderId="0" xfId="0" applyFont="1" applyAlignment="1">
      <alignment horizontal="center" vertical="center" wrapText="1"/>
    </xf>
    <xf numFmtId="0" fontId="18" fillId="0" borderId="0" xfId="0" applyFont="1" applyBorder="1" applyAlignment="1" applyProtection="1">
      <alignment horizontal="left" wrapText="1"/>
    </xf>
    <xf numFmtId="0" fontId="0" fillId="0" borderId="21" xfId="0" applyBorder="1" applyAlignment="1">
      <alignment horizontal="center" vertical="center" wrapText="1"/>
    </xf>
    <xf numFmtId="0" fontId="0" fillId="0" borderId="16" xfId="0" applyBorder="1" applyAlignment="1">
      <alignment vertical="center" wrapText="1"/>
    </xf>
    <xf numFmtId="0" fontId="0" fillId="0" borderId="22" xfId="0" applyBorder="1" applyAlignment="1">
      <alignment vertical="center" wrapText="1"/>
    </xf>
    <xf numFmtId="0" fontId="19" fillId="0" borderId="0" xfId="0" applyFont="1" applyBorder="1" applyAlignment="1" applyProtection="1">
      <alignment horizontal="center" vertical="top" wrapText="1"/>
    </xf>
    <xf numFmtId="0" fontId="19" fillId="0" borderId="0" xfId="0" applyFont="1" applyAlignment="1" applyProtection="1">
      <alignment horizontal="center" vertical="top" wrapText="1"/>
    </xf>
    <xf numFmtId="0" fontId="18" fillId="0" borderId="24" xfId="0" applyFont="1" applyBorder="1" applyAlignment="1" applyProtection="1">
      <alignment horizontal="center" vertical="center" wrapText="1"/>
    </xf>
    <xf numFmtId="0" fontId="18" fillId="0" borderId="26" xfId="0" applyFont="1" applyBorder="1" applyAlignment="1" applyProtection="1">
      <alignment horizontal="center" vertical="center" wrapText="1"/>
    </xf>
    <xf numFmtId="0" fontId="18" fillId="0" borderId="14" xfId="0" applyFont="1" applyBorder="1" applyAlignment="1" applyProtection="1">
      <alignment horizontal="center" vertical="center" wrapText="1"/>
    </xf>
    <xf numFmtId="0" fontId="18" fillId="0" borderId="12" xfId="0" applyFont="1" applyBorder="1" applyAlignment="1" applyProtection="1">
      <alignment horizontal="center" vertical="center" wrapText="1"/>
    </xf>
    <xf numFmtId="0" fontId="18" fillId="0" borderId="0" xfId="0" applyFont="1" applyBorder="1" applyAlignment="1" applyProtection="1">
      <alignment horizontal="right" wrapText="1"/>
    </xf>
    <xf numFmtId="0" fontId="18" fillId="0" borderId="0" xfId="0" applyFont="1" applyAlignment="1" applyProtection="1">
      <alignment horizontal="right" wrapText="1"/>
    </xf>
    <xf numFmtId="0" fontId="18" fillId="0" borderId="0" xfId="0" applyFont="1" applyAlignment="1" applyProtection="1">
      <alignment horizontal="right"/>
    </xf>
    <xf numFmtId="0" fontId="18" fillId="0" borderId="0" xfId="0" applyFont="1" applyAlignment="1" applyProtection="1">
      <alignment horizontal="left" wrapText="1"/>
    </xf>
    <xf numFmtId="0" fontId="25" fillId="0" borderId="21" xfId="0" applyFont="1" applyBorder="1" applyAlignment="1" applyProtection="1">
      <alignment horizontal="center" vertical="center" wrapText="1"/>
    </xf>
    <xf numFmtId="0" fontId="51" fillId="0" borderId="0" xfId="0" applyFont="1" applyBorder="1" applyAlignment="1" applyProtection="1">
      <alignment horizontal="right" wrapText="1"/>
    </xf>
    <xf numFmtId="0" fontId="51" fillId="0" borderId="5" xfId="0" applyFont="1" applyBorder="1" applyAlignment="1" applyProtection="1">
      <alignment wrapText="1"/>
    </xf>
    <xf numFmtId="0" fontId="51" fillId="0" borderId="2" xfId="0" applyFont="1" applyBorder="1" applyAlignment="1" applyProtection="1">
      <alignment horizontal="right" vertical="center" wrapText="1"/>
    </xf>
    <xf numFmtId="0" fontId="51" fillId="0" borderId="6" xfId="0" applyFont="1" applyBorder="1" applyAlignment="1" applyProtection="1">
      <alignment vertical="center" wrapText="1"/>
    </xf>
    <xf numFmtId="0" fontId="51" fillId="0" borderId="0" xfId="0" applyFont="1" applyBorder="1" applyAlignment="1" applyProtection="1">
      <alignment horizontal="center" wrapText="1"/>
    </xf>
    <xf numFmtId="0" fontId="52" fillId="0" borderId="0" xfId="0" applyFont="1" applyAlignment="1">
      <alignment horizontal="center" wrapText="1"/>
    </xf>
    <xf numFmtId="0" fontId="46" fillId="0" borderId="0" xfId="0" applyFont="1" applyAlignment="1" applyProtection="1">
      <alignment horizontal="center" vertical="center" wrapText="1"/>
    </xf>
    <xf numFmtId="0" fontId="52" fillId="0" borderId="0" xfId="0" applyFont="1" applyAlignment="1">
      <alignment wrapText="1"/>
    </xf>
    <xf numFmtId="0" fontId="51" fillId="0" borderId="0" xfId="0" applyFont="1" applyBorder="1" applyAlignment="1" applyProtection="1">
      <alignment horizontal="center" vertical="center" wrapText="1"/>
    </xf>
    <xf numFmtId="0" fontId="51" fillId="0" borderId="0" xfId="0" applyFont="1" applyAlignment="1" applyProtection="1">
      <alignment wrapText="1"/>
    </xf>
    <xf numFmtId="0" fontId="51" fillId="0" borderId="2" xfId="0" applyFont="1" applyBorder="1" applyAlignment="1" applyProtection="1">
      <alignment wrapText="1"/>
    </xf>
    <xf numFmtId="0" fontId="46" fillId="0" borderId="10" xfId="0" applyFont="1" applyBorder="1" applyAlignment="1" applyProtection="1">
      <alignment horizontal="center" vertical="center" wrapText="1"/>
    </xf>
    <xf numFmtId="0" fontId="57" fillId="0" borderId="10" xfId="0" applyFont="1" applyBorder="1" applyAlignment="1" applyProtection="1">
      <alignment wrapText="1"/>
    </xf>
    <xf numFmtId="0" fontId="57" fillId="0" borderId="0" xfId="0" applyFont="1" applyAlignment="1" applyProtection="1">
      <alignment wrapText="1"/>
    </xf>
    <xf numFmtId="0" fontId="51" fillId="0" borderId="10" xfId="0" applyFont="1" applyBorder="1" applyAlignment="1" applyProtection="1">
      <alignment horizontal="center" vertical="center" wrapText="1"/>
    </xf>
    <xf numFmtId="0" fontId="52" fillId="0" borderId="0" xfId="0" applyFont="1" applyAlignment="1" applyProtection="1">
      <alignment wrapText="1"/>
    </xf>
    <xf numFmtId="0" fontId="52" fillId="0" borderId="0" xfId="0" applyFont="1" applyAlignment="1">
      <alignment horizontal="center" vertical="center" wrapText="1"/>
    </xf>
    <xf numFmtId="0" fontId="30" fillId="0" borderId="0" xfId="0" applyFont="1" applyAlignment="1" applyProtection="1">
      <alignment horizontal="center" vertical="center" wrapText="1"/>
    </xf>
    <xf numFmtId="0" fontId="52" fillId="0" borderId="0" xfId="0" applyFont="1" applyAlignment="1">
      <alignment vertical="center" wrapText="1"/>
    </xf>
    <xf numFmtId="0" fontId="51" fillId="0" borderId="0" xfId="0" applyFont="1" applyBorder="1" applyAlignment="1">
      <alignment horizontal="center" wrapText="1"/>
    </xf>
    <xf numFmtId="0" fontId="51" fillId="0" borderId="21" xfId="0" applyFont="1" applyBorder="1" applyAlignment="1">
      <alignment horizontal="center" wrapText="1"/>
    </xf>
    <xf numFmtId="0" fontId="51" fillId="0" borderId="0" xfId="0" applyFont="1" applyBorder="1" applyAlignment="1" applyProtection="1">
      <alignment horizontal="right" vertical="center" wrapText="1"/>
    </xf>
    <xf numFmtId="0" fontId="51" fillId="0" borderId="5" xfId="0" applyFont="1" applyBorder="1" applyAlignment="1" applyProtection="1">
      <alignment vertical="center" wrapText="1"/>
    </xf>
    <xf numFmtId="0" fontId="47" fillId="0" borderId="0" xfId="0" applyFont="1" applyBorder="1" applyAlignment="1">
      <alignment horizontal="center" vertical="center" wrapText="1"/>
    </xf>
    <xf numFmtId="0" fontId="47" fillId="0" borderId="21" xfId="0" applyFont="1" applyBorder="1" applyAlignment="1">
      <alignment horizontal="center" vertical="center" wrapText="1"/>
    </xf>
    <xf numFmtId="0" fontId="0" fillId="0" borderId="0" xfId="0" applyAlignment="1">
      <alignment horizontal="center" wrapText="1"/>
    </xf>
    <xf numFmtId="0" fontId="48" fillId="0" borderId="0" xfId="0" applyFont="1" applyAlignment="1" applyProtection="1">
      <alignment horizontal="center" vertical="center" wrapText="1"/>
    </xf>
    <xf numFmtId="0" fontId="19" fillId="0" borderId="0" xfId="0" applyFont="1" applyBorder="1" applyAlignment="1" applyProtection="1">
      <alignment horizontal="right" vertical="center"/>
    </xf>
    <xf numFmtId="0" fontId="18" fillId="0" borderId="0" xfId="0" applyFont="1" applyAlignment="1">
      <alignment horizontal="center" vertical="top" wrapText="1"/>
    </xf>
    <xf numFmtId="0" fontId="18" fillId="0" borderId="0" xfId="0" applyFont="1" applyBorder="1" applyAlignment="1">
      <alignment horizontal="center" vertical="top" wrapText="1"/>
    </xf>
    <xf numFmtId="0" fontId="0" fillId="0" borderId="0" xfId="0" applyNumberFormat="1" applyFill="1" applyAlignment="1" applyProtection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0" fillId="3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0" xfId="1" applyNumberFormat="1" applyFont="1" applyFill="1" applyBorder="1" applyAlignment="1" applyProtection="1">
      <alignment horizontal="left" vertical="center" wrapText="1"/>
      <protection locked="0"/>
    </xf>
    <xf numFmtId="0" fontId="43" fillId="0" borderId="0" xfId="1" applyNumberFormat="1" applyFont="1" applyFill="1" applyBorder="1" applyAlignment="1" applyProtection="1">
      <alignment horizontal="center" wrapText="1"/>
    </xf>
    <xf numFmtId="0" fontId="44" fillId="0" borderId="0" xfId="0" applyFont="1" applyFill="1" applyBorder="1" applyAlignment="1" applyProtection="1">
      <alignment horizontal="center" wrapText="1"/>
    </xf>
  </cellXfs>
  <cellStyles count="3">
    <cellStyle name="Гиперссылка" xfId="2" builtinId="8"/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planetaexcel.ru/techniques/1/38/" TargetMode="External"/><Relationship Id="rId2" Type="http://schemas.openxmlformats.org/officeDocument/2006/relationships/hyperlink" Target="https://www.planetaexcel.ru/techniques/2/92/" TargetMode="External"/><Relationship Id="rId1" Type="http://schemas.openxmlformats.org/officeDocument/2006/relationships/hyperlink" Target="http://www.planetaexcel.ru/techniques/2/81/" TargetMode="External"/><Relationship Id="rId4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rgb="FF00B050"/>
  </sheetPr>
  <dimension ref="A1:FD56"/>
  <sheetViews>
    <sheetView tabSelected="1" view="pageBreakPreview" topLeftCell="A16" zoomScale="150" zoomScaleNormal="145" zoomScaleSheetLayoutView="150" workbookViewId="0">
      <selection activeCell="A26" sqref="A26:DD26"/>
    </sheetView>
  </sheetViews>
  <sheetFormatPr defaultColWidth="0.88671875" defaultRowHeight="13.2" x14ac:dyDescent="0.25"/>
  <cols>
    <col min="1" max="14" width="0.88671875" style="2"/>
    <col min="15" max="15" width="0.88671875" style="2" customWidth="1"/>
    <col min="16" max="67" width="0.88671875" style="2"/>
    <col min="68" max="68" width="3.109375" style="2" customWidth="1"/>
    <col min="69" max="69" width="0.109375" style="2" customWidth="1"/>
    <col min="70" max="71" width="0.88671875" style="2" hidden="1" customWidth="1"/>
    <col min="72" max="72" width="1.88671875" style="2" customWidth="1"/>
    <col min="73" max="78" width="0.88671875" style="2"/>
    <col min="79" max="80" width="0.88671875" style="2" customWidth="1"/>
    <col min="81" max="100" width="0.88671875" style="2"/>
    <col min="101" max="101" width="0.88671875" style="2" customWidth="1"/>
    <col min="102" max="105" width="0.88671875" style="2"/>
    <col min="106" max="106" width="0.88671875" style="2" customWidth="1"/>
    <col min="107" max="107" width="0.88671875" style="2" hidden="1" customWidth="1"/>
    <col min="108" max="108" width="1.44140625" style="2" customWidth="1"/>
    <col min="109" max="110" width="7.6640625" style="2" customWidth="1"/>
    <col min="111" max="111" width="4" style="2" customWidth="1"/>
    <col min="112" max="112" width="3.109375" style="2" customWidth="1"/>
    <col min="113" max="148" width="4" style="2" customWidth="1"/>
    <col min="149" max="16384" width="0.88671875" style="2"/>
  </cols>
  <sheetData>
    <row r="1" spans="1:160" ht="13.2" customHeight="1" x14ac:dyDescent="0.3">
      <c r="A1" s="197"/>
      <c r="B1" s="197"/>
      <c r="C1" s="197"/>
      <c r="D1" s="197"/>
      <c r="E1" s="320" t="str">
        <f>IF((INDEX(УЧРЕЖДЕНИЯ!$I$14:$I$53,MATCH($CO$20,УЧРЕЖДЕНИЯ!$C$14:$C$53,0)))="АУ",DE2,"")</f>
        <v>РАССМОТРЕНО</v>
      </c>
      <c r="F1" s="320"/>
      <c r="G1" s="320"/>
      <c r="H1" s="320"/>
      <c r="I1" s="320"/>
      <c r="J1" s="320"/>
      <c r="K1" s="320"/>
      <c r="L1" s="320"/>
      <c r="M1" s="320"/>
      <c r="N1" s="320"/>
      <c r="O1" s="320"/>
      <c r="P1" s="320"/>
      <c r="Q1" s="320"/>
      <c r="R1" s="320"/>
      <c r="S1" s="320"/>
      <c r="T1" s="320"/>
      <c r="U1" s="320"/>
      <c r="V1" s="320"/>
      <c r="W1" s="320"/>
      <c r="X1" s="320"/>
      <c r="Y1" s="320"/>
      <c r="Z1" s="320"/>
      <c r="AA1" s="320"/>
      <c r="AB1" s="320"/>
      <c r="AC1" s="320"/>
      <c r="AD1" s="320"/>
      <c r="AE1" s="320"/>
      <c r="AF1" s="320"/>
      <c r="AG1" s="320"/>
      <c r="AH1" s="320"/>
      <c r="AI1" s="320"/>
      <c r="AJ1" s="320"/>
      <c r="AK1" s="320"/>
      <c r="AL1" s="320"/>
      <c r="AM1" s="320"/>
      <c r="AN1" s="320"/>
      <c r="AO1" s="320"/>
      <c r="AP1" s="320"/>
      <c r="AQ1" s="320"/>
      <c r="AR1" s="320"/>
      <c r="AS1" s="320"/>
      <c r="AT1" s="320"/>
      <c r="AU1" s="320"/>
      <c r="AV1" s="320"/>
      <c r="AW1" s="320"/>
      <c r="AX1" s="320"/>
      <c r="AY1" s="320"/>
      <c r="AZ1" s="320"/>
      <c r="BA1" s="320"/>
      <c r="BB1" s="320"/>
      <c r="BC1" s="320"/>
      <c r="BD1" s="320"/>
      <c r="BE1" s="320" t="str">
        <f>IF(A8="НЕ ВЕРНЫЙ","НЕ УТВЕРЖДАЮ","УТВЕРЖДАЮ")</f>
        <v>УТВЕРЖДАЮ</v>
      </c>
      <c r="BF1" s="320"/>
      <c r="BG1" s="320"/>
      <c r="BH1" s="320"/>
      <c r="BI1" s="320"/>
      <c r="BJ1" s="320"/>
      <c r="BK1" s="320"/>
      <c r="BL1" s="320"/>
      <c r="BM1" s="320"/>
      <c r="BN1" s="320"/>
      <c r="BO1" s="320"/>
      <c r="BP1" s="320"/>
      <c r="BQ1" s="320"/>
      <c r="BR1" s="320"/>
      <c r="BS1" s="320"/>
      <c r="BT1" s="320"/>
      <c r="BU1" s="320"/>
      <c r="BV1" s="320"/>
      <c r="BW1" s="320"/>
      <c r="BX1" s="320"/>
      <c r="BY1" s="320"/>
      <c r="BZ1" s="320"/>
      <c r="CA1" s="320"/>
      <c r="CB1" s="320"/>
      <c r="CC1" s="320"/>
      <c r="CD1" s="320"/>
      <c r="CE1" s="320"/>
      <c r="CF1" s="320"/>
      <c r="CG1" s="320"/>
      <c r="CH1" s="320"/>
      <c r="CI1" s="320"/>
      <c r="CJ1" s="320"/>
      <c r="CK1" s="320"/>
      <c r="CL1" s="320"/>
      <c r="CM1" s="320"/>
      <c r="CN1" s="320"/>
      <c r="CO1" s="320"/>
      <c r="CP1" s="320"/>
      <c r="CQ1" s="320"/>
      <c r="CR1" s="320"/>
      <c r="CS1" s="320"/>
      <c r="CT1" s="320"/>
      <c r="CU1" s="320"/>
      <c r="CV1" s="320"/>
      <c r="CW1" s="320"/>
      <c r="CX1" s="320"/>
      <c r="CY1" s="320"/>
      <c r="CZ1" s="320"/>
      <c r="DA1" s="320"/>
      <c r="DB1" s="320"/>
      <c r="DC1" s="320"/>
      <c r="DD1" s="320"/>
      <c r="DE1" s="318" t="s">
        <v>857</v>
      </c>
      <c r="DF1" s="319"/>
      <c r="DG1" s="319"/>
      <c r="DH1" s="319"/>
      <c r="DI1" s="319"/>
      <c r="DJ1" s="319"/>
      <c r="DK1" s="319"/>
      <c r="DL1" s="319"/>
      <c r="DM1" s="319"/>
      <c r="DN1" s="319"/>
      <c r="DO1" s="319"/>
      <c r="DP1" s="319"/>
      <c r="DQ1" s="319"/>
      <c r="DR1" s="319"/>
      <c r="DS1" s="319"/>
      <c r="DT1" s="319"/>
      <c r="DU1" s="319"/>
      <c r="DV1" s="319"/>
      <c r="DW1" s="319"/>
      <c r="DX1" s="319"/>
      <c r="DY1" s="319"/>
      <c r="DZ1" s="319"/>
      <c r="EA1" s="319"/>
      <c r="EB1" s="319"/>
      <c r="EC1" s="319"/>
      <c r="ED1" s="319"/>
      <c r="EE1" s="319"/>
      <c r="EF1" s="319"/>
      <c r="EG1" s="319"/>
      <c r="EH1" s="319"/>
      <c r="EI1" s="319"/>
      <c r="EJ1" s="319"/>
      <c r="EK1" s="317"/>
      <c r="EL1" s="292"/>
      <c r="EM1" s="292"/>
      <c r="EN1" s="292"/>
      <c r="EO1" s="292"/>
      <c r="EP1" s="292"/>
      <c r="EQ1" s="292"/>
      <c r="ER1" s="292"/>
      <c r="ES1" s="292"/>
      <c r="ET1" s="292"/>
      <c r="EU1" s="317"/>
      <c r="EV1" s="292"/>
      <c r="EW1" s="292"/>
      <c r="EX1" s="292"/>
      <c r="EY1" s="292"/>
      <c r="EZ1" s="292"/>
      <c r="FA1" s="292"/>
      <c r="FB1" s="292"/>
      <c r="FC1" s="292"/>
      <c r="FD1" s="292"/>
    </row>
    <row r="2" spans="1:160" x14ac:dyDescent="0.25">
      <c r="E2" s="321" t="str">
        <f>IF((INDEX(УЧРЕЖДЕНИЯ!$I$14:$I$53,MATCH($CO$20,УЧРЕЖДЕНИЯ!$C$14:$C$53,0)))="АУ",DE3,"")</f>
        <v>на заседании Наблюдательного совета</v>
      </c>
      <c r="F2" s="321"/>
      <c r="G2" s="321"/>
      <c r="H2" s="321"/>
      <c r="I2" s="321"/>
      <c r="J2" s="321"/>
      <c r="K2" s="321"/>
      <c r="L2" s="321"/>
      <c r="M2" s="321"/>
      <c r="N2" s="321"/>
      <c r="O2" s="321"/>
      <c r="P2" s="321"/>
      <c r="Q2" s="321"/>
      <c r="R2" s="321"/>
      <c r="S2" s="321"/>
      <c r="T2" s="321"/>
      <c r="U2" s="321"/>
      <c r="V2" s="321"/>
      <c r="W2" s="321"/>
      <c r="X2" s="321"/>
      <c r="Y2" s="321"/>
      <c r="Z2" s="321"/>
      <c r="AA2" s="321"/>
      <c r="AB2" s="321"/>
      <c r="AC2" s="321"/>
      <c r="AD2" s="321"/>
      <c r="AE2" s="321"/>
      <c r="AF2" s="321"/>
      <c r="AG2" s="321"/>
      <c r="AH2" s="321"/>
      <c r="AI2" s="321"/>
      <c r="AJ2" s="321"/>
      <c r="AK2" s="321"/>
      <c r="AL2" s="321"/>
      <c r="AM2" s="321"/>
      <c r="AN2" s="321"/>
      <c r="AO2" s="321"/>
      <c r="AP2" s="321"/>
      <c r="AQ2" s="321"/>
      <c r="AR2" s="321"/>
      <c r="AS2" s="321"/>
      <c r="AT2" s="321"/>
      <c r="AU2" s="321"/>
      <c r="AV2" s="321"/>
      <c r="AW2" s="321"/>
      <c r="AX2" s="321"/>
      <c r="AY2" s="321"/>
      <c r="AZ2" s="321"/>
      <c r="BA2" s="321"/>
      <c r="BB2" s="321"/>
      <c r="BC2" s="321"/>
      <c r="BD2" s="321"/>
      <c r="DE2" s="321" t="str">
        <f>IF(A8="НЕ ВЕРНЫЙ","НЕ РАССМОТРЕНО","РАССМОТРЕНО")</f>
        <v>РАССМОТРЕНО</v>
      </c>
      <c r="DF2" s="321"/>
      <c r="DG2" s="321"/>
      <c r="DH2" s="321"/>
      <c r="DI2" s="321"/>
      <c r="DJ2" s="321"/>
      <c r="DK2" s="321"/>
      <c r="DL2" s="321"/>
      <c r="DM2" s="321"/>
      <c r="DN2" s="321"/>
      <c r="DO2" s="321"/>
      <c r="DP2" s="321"/>
      <c r="DQ2" s="321"/>
      <c r="DR2" s="321"/>
      <c r="DS2" s="321"/>
      <c r="DT2" s="321"/>
      <c r="DU2" s="321"/>
      <c r="DV2" s="321"/>
      <c r="DW2" s="321"/>
      <c r="DX2" s="321"/>
      <c r="DY2" s="321"/>
      <c r="DZ2" s="321"/>
      <c r="EA2" s="321"/>
      <c r="EB2" s="321"/>
      <c r="EC2" s="321"/>
      <c r="ED2" s="321"/>
      <c r="EE2" s="321"/>
      <c r="EF2" s="321"/>
      <c r="EG2" s="321"/>
      <c r="EH2" s="321"/>
      <c r="EI2" s="321"/>
      <c r="EJ2" s="321"/>
      <c r="EK2" s="321"/>
      <c r="EL2" s="321"/>
      <c r="EM2" s="321"/>
      <c r="EN2" s="321"/>
      <c r="EO2" s="321"/>
      <c r="EP2" s="321"/>
      <c r="EQ2" s="321"/>
      <c r="ER2" s="321"/>
      <c r="ES2" s="321"/>
      <c r="ET2" s="321"/>
      <c r="EU2" s="321"/>
      <c r="EV2" s="321"/>
      <c r="EW2" s="321"/>
      <c r="EX2" s="321"/>
      <c r="EY2" s="321"/>
      <c r="EZ2" s="321"/>
      <c r="FA2" s="321"/>
      <c r="FB2" s="321"/>
      <c r="FC2" s="321"/>
      <c r="FD2" s="321"/>
    </row>
    <row r="3" spans="1:160" x14ac:dyDescent="0.25">
      <c r="E3" s="261" t="str">
        <f>IF((INDEX(УЧРЕЖДЕНИЯ!$I$14:$I$53,MATCH($CO$20,УЧРЕЖДЕНИЯ!$C$14:$C$53,0)))="АУ",DE4,"")</f>
        <v>Муниципальное автономное учреждение "Физкультурно-оздоровительный комплекс "Атлант" в г.Шахунья"</v>
      </c>
      <c r="F3" s="296"/>
      <c r="G3" s="296"/>
      <c r="H3" s="296"/>
      <c r="I3" s="296"/>
      <c r="J3" s="296"/>
      <c r="K3" s="296"/>
      <c r="L3" s="296"/>
      <c r="M3" s="296"/>
      <c r="N3" s="296"/>
      <c r="O3" s="296"/>
      <c r="P3" s="296"/>
      <c r="Q3" s="296"/>
      <c r="R3" s="296"/>
      <c r="S3" s="296"/>
      <c r="T3" s="296"/>
      <c r="U3" s="296"/>
      <c r="V3" s="296"/>
      <c r="W3" s="296"/>
      <c r="X3" s="296"/>
      <c r="Y3" s="296"/>
      <c r="Z3" s="296"/>
      <c r="AA3" s="296"/>
      <c r="AB3" s="296"/>
      <c r="AC3" s="296"/>
      <c r="AD3" s="296"/>
      <c r="AE3" s="296"/>
      <c r="AF3" s="296"/>
      <c r="AG3" s="296"/>
      <c r="AH3" s="296"/>
      <c r="AI3" s="296"/>
      <c r="AJ3" s="296"/>
      <c r="AK3" s="296"/>
      <c r="AL3" s="296"/>
      <c r="AM3" s="296"/>
      <c r="AN3" s="296"/>
      <c r="AO3" s="296"/>
      <c r="AP3" s="296"/>
      <c r="AQ3" s="296"/>
      <c r="AR3" s="296"/>
      <c r="AS3" s="296"/>
      <c r="AT3" s="296"/>
      <c r="AU3" s="296"/>
      <c r="AV3" s="296"/>
      <c r="AW3" s="296"/>
      <c r="AX3" s="296"/>
      <c r="AY3" s="296"/>
      <c r="AZ3" s="296"/>
      <c r="BA3" s="296"/>
      <c r="BB3" s="296"/>
      <c r="BC3" s="296"/>
      <c r="BD3" s="296"/>
      <c r="BE3" s="325" t="str">
        <f>INDEX(УЧРЕЖДЕНИЯ!J14:J53,MATCH(ТИТУЛ!CO20,УЧРЕЖДЕНИЯ!C14:C53,0))</f>
        <v>Директор</v>
      </c>
      <c r="BF3" s="325"/>
      <c r="BG3" s="325"/>
      <c r="BH3" s="325"/>
      <c r="BI3" s="325"/>
      <c r="BJ3" s="325"/>
      <c r="BK3" s="325"/>
      <c r="BL3" s="325"/>
      <c r="BM3" s="325"/>
      <c r="BN3" s="325"/>
      <c r="BO3" s="325"/>
      <c r="BP3" s="325"/>
      <c r="BQ3" s="325"/>
      <c r="BR3" s="325"/>
      <c r="BS3" s="325"/>
      <c r="BT3" s="325"/>
      <c r="BU3" s="325"/>
      <c r="BV3" s="325"/>
      <c r="BW3" s="325"/>
      <c r="BX3" s="325"/>
      <c r="BY3" s="325"/>
      <c r="BZ3" s="325"/>
      <c r="CA3" s="325"/>
      <c r="CB3" s="325"/>
      <c r="CC3" s="325"/>
      <c r="CD3" s="325"/>
      <c r="CE3" s="325"/>
      <c r="CF3" s="325"/>
      <c r="CG3" s="325"/>
      <c r="CH3" s="325"/>
      <c r="CI3" s="325"/>
      <c r="CJ3" s="325"/>
      <c r="CK3" s="325"/>
      <c r="CL3" s="325"/>
      <c r="CM3" s="325"/>
      <c r="CN3" s="325"/>
      <c r="CO3" s="325"/>
      <c r="CP3" s="325"/>
      <c r="CQ3" s="325"/>
      <c r="CR3" s="325"/>
      <c r="CS3" s="325"/>
      <c r="CT3" s="325"/>
      <c r="CU3" s="325"/>
      <c r="CV3" s="325"/>
      <c r="CW3" s="325"/>
      <c r="CX3" s="325"/>
      <c r="CY3" s="325"/>
      <c r="CZ3" s="325"/>
      <c r="DA3" s="325"/>
      <c r="DB3" s="325"/>
      <c r="DC3" s="325"/>
      <c r="DD3" s="325"/>
      <c r="DE3" s="301" t="s">
        <v>680</v>
      </c>
      <c r="DF3" s="301"/>
      <c r="DG3" s="301"/>
      <c r="DH3" s="301"/>
      <c r="DI3" s="301"/>
      <c r="DJ3" s="301"/>
      <c r="DK3" s="301"/>
      <c r="DL3" s="301"/>
      <c r="DM3" s="301"/>
      <c r="DN3" s="301"/>
      <c r="DO3" s="301"/>
      <c r="DP3" s="301"/>
      <c r="DQ3" s="301"/>
      <c r="DR3" s="301"/>
      <c r="DS3" s="301"/>
      <c r="DT3" s="301"/>
      <c r="DU3" s="301"/>
      <c r="DV3" s="301"/>
      <c r="DW3" s="301"/>
      <c r="DX3" s="301"/>
      <c r="DY3" s="301"/>
      <c r="DZ3" s="301"/>
      <c r="EA3" s="301"/>
      <c r="EB3" s="301"/>
      <c r="EC3" s="301"/>
      <c r="ED3" s="301"/>
      <c r="EE3" s="301"/>
      <c r="EF3" s="301"/>
      <c r="EG3" s="301"/>
      <c r="EH3" s="301"/>
      <c r="EI3" s="301"/>
      <c r="EJ3" s="301"/>
      <c r="EK3" s="301"/>
      <c r="EL3" s="301"/>
      <c r="EM3" s="301"/>
      <c r="EN3" s="301"/>
      <c r="EO3" s="301"/>
      <c r="EP3" s="301"/>
      <c r="EQ3" s="301"/>
      <c r="ER3" s="301"/>
      <c r="ES3" s="301"/>
      <c r="ET3" s="301"/>
      <c r="EU3" s="301"/>
      <c r="EV3" s="301"/>
      <c r="EW3" s="301"/>
      <c r="EX3" s="301"/>
      <c r="EY3" s="301"/>
      <c r="EZ3" s="301"/>
      <c r="FA3" s="301"/>
      <c r="FB3" s="301"/>
      <c r="FC3" s="301"/>
      <c r="FD3" s="301"/>
    </row>
    <row r="4" spans="1:160" s="3" customFormat="1" ht="15.75" customHeight="1" x14ac:dyDescent="0.2">
      <c r="E4" s="296"/>
      <c r="F4" s="296"/>
      <c r="G4" s="296"/>
      <c r="H4" s="296"/>
      <c r="I4" s="296"/>
      <c r="J4" s="296"/>
      <c r="K4" s="296"/>
      <c r="L4" s="296"/>
      <c r="M4" s="296"/>
      <c r="N4" s="296"/>
      <c r="O4" s="296"/>
      <c r="P4" s="296"/>
      <c r="Q4" s="296"/>
      <c r="R4" s="296"/>
      <c r="S4" s="296"/>
      <c r="T4" s="296"/>
      <c r="U4" s="296"/>
      <c r="V4" s="296"/>
      <c r="W4" s="296"/>
      <c r="X4" s="296"/>
      <c r="Y4" s="296"/>
      <c r="Z4" s="296"/>
      <c r="AA4" s="296"/>
      <c r="AB4" s="296"/>
      <c r="AC4" s="296"/>
      <c r="AD4" s="296"/>
      <c r="AE4" s="296"/>
      <c r="AF4" s="296"/>
      <c r="AG4" s="296"/>
      <c r="AH4" s="296"/>
      <c r="AI4" s="296"/>
      <c r="AJ4" s="296"/>
      <c r="AK4" s="296"/>
      <c r="AL4" s="296"/>
      <c r="AM4" s="296"/>
      <c r="AN4" s="296"/>
      <c r="AO4" s="296"/>
      <c r="AP4" s="296"/>
      <c r="AQ4" s="296"/>
      <c r="AR4" s="296"/>
      <c r="AS4" s="296"/>
      <c r="AT4" s="296"/>
      <c r="AU4" s="296"/>
      <c r="AV4" s="296"/>
      <c r="AW4" s="296"/>
      <c r="AX4" s="296"/>
      <c r="AY4" s="296"/>
      <c r="AZ4" s="296"/>
      <c r="BA4" s="296"/>
      <c r="BB4" s="296"/>
      <c r="BC4" s="296"/>
      <c r="BD4" s="296"/>
      <c r="BE4" s="326"/>
      <c r="BF4" s="326"/>
      <c r="BG4" s="326"/>
      <c r="BH4" s="326"/>
      <c r="BI4" s="326"/>
      <c r="BJ4" s="326"/>
      <c r="BK4" s="326"/>
      <c r="BL4" s="326"/>
      <c r="BM4" s="326"/>
      <c r="BN4" s="326"/>
      <c r="BO4" s="326"/>
      <c r="BP4" s="326"/>
      <c r="BQ4" s="326"/>
      <c r="BR4" s="326"/>
      <c r="BS4" s="326"/>
      <c r="BT4" s="326"/>
      <c r="BU4" s="326"/>
      <c r="BV4" s="326"/>
      <c r="BW4" s="326"/>
      <c r="BX4" s="326"/>
      <c r="BY4" s="326"/>
      <c r="BZ4" s="326"/>
      <c r="CA4" s="326"/>
      <c r="CB4" s="326"/>
      <c r="CC4" s="326"/>
      <c r="CD4" s="326"/>
      <c r="CE4" s="326"/>
      <c r="CF4" s="326"/>
      <c r="CG4" s="326"/>
      <c r="CH4" s="326"/>
      <c r="CI4" s="326"/>
      <c r="CJ4" s="326"/>
      <c r="CK4" s="326"/>
      <c r="CL4" s="326"/>
      <c r="CM4" s="326"/>
      <c r="CN4" s="326"/>
      <c r="CO4" s="326"/>
      <c r="CP4" s="326"/>
      <c r="CQ4" s="326"/>
      <c r="CR4" s="326"/>
      <c r="CS4" s="326"/>
      <c r="CT4" s="326"/>
      <c r="CU4" s="326"/>
      <c r="CV4" s="326"/>
      <c r="CW4" s="326"/>
      <c r="CX4" s="326"/>
      <c r="CY4" s="326"/>
      <c r="CZ4" s="326"/>
      <c r="DA4" s="326"/>
      <c r="DB4" s="326"/>
      <c r="DC4" s="326"/>
      <c r="DD4" s="326"/>
      <c r="DE4" s="323" t="str">
        <f>P19</f>
        <v>Муниципальное автономное учреждение "Физкультурно-оздоровительный комплекс "Атлант" в г.Шахунья"</v>
      </c>
      <c r="DF4" s="323"/>
      <c r="DG4" s="323"/>
      <c r="DH4" s="323"/>
      <c r="DI4" s="323"/>
      <c r="DJ4" s="323"/>
      <c r="DK4" s="323"/>
      <c r="DL4" s="323"/>
      <c r="DM4" s="323"/>
      <c r="DN4" s="323"/>
      <c r="DO4" s="323"/>
      <c r="DP4" s="323"/>
      <c r="DQ4" s="323"/>
      <c r="DR4" s="323"/>
      <c r="DS4" s="323"/>
      <c r="DT4" s="323"/>
      <c r="DU4" s="323"/>
      <c r="DV4" s="323"/>
      <c r="DW4" s="323"/>
      <c r="DX4" s="323"/>
      <c r="DY4" s="323"/>
      <c r="DZ4" s="323"/>
      <c r="EA4" s="323"/>
      <c r="EB4" s="323"/>
      <c r="EC4" s="323"/>
      <c r="ED4" s="323"/>
      <c r="EE4" s="323"/>
      <c r="EF4" s="323"/>
      <c r="EG4" s="323"/>
      <c r="EH4" s="323"/>
      <c r="EI4" s="323"/>
      <c r="EJ4" s="323"/>
      <c r="EK4" s="323"/>
      <c r="EL4" s="323"/>
      <c r="EM4" s="323"/>
      <c r="EN4" s="323"/>
      <c r="EO4" s="323"/>
      <c r="EP4" s="323"/>
      <c r="EQ4" s="323"/>
      <c r="ER4" s="323"/>
      <c r="ES4" s="323"/>
      <c r="ET4" s="323"/>
      <c r="EU4" s="323"/>
      <c r="EV4" s="323"/>
      <c r="EW4" s="323"/>
      <c r="EX4" s="323"/>
      <c r="EY4" s="323"/>
      <c r="EZ4" s="323"/>
      <c r="FA4" s="323"/>
      <c r="FB4" s="323"/>
      <c r="FC4" s="323"/>
      <c r="FD4" s="323"/>
    </row>
    <row r="5" spans="1:160" ht="24" customHeight="1" x14ac:dyDescent="0.3">
      <c r="E5" s="296"/>
      <c r="F5" s="296"/>
      <c r="G5" s="296"/>
      <c r="H5" s="296"/>
      <c r="I5" s="296"/>
      <c r="J5" s="296"/>
      <c r="K5" s="296"/>
      <c r="L5" s="296"/>
      <c r="M5" s="296"/>
      <c r="N5" s="296"/>
      <c r="O5" s="296"/>
      <c r="P5" s="296"/>
      <c r="Q5" s="296"/>
      <c r="R5" s="296"/>
      <c r="S5" s="296"/>
      <c r="T5" s="296"/>
      <c r="U5" s="296"/>
      <c r="V5" s="296"/>
      <c r="W5" s="296"/>
      <c r="X5" s="296"/>
      <c r="Y5" s="296"/>
      <c r="Z5" s="296"/>
      <c r="AA5" s="296"/>
      <c r="AB5" s="296"/>
      <c r="AC5" s="296"/>
      <c r="AD5" s="296"/>
      <c r="AE5" s="296"/>
      <c r="AF5" s="296"/>
      <c r="AG5" s="296"/>
      <c r="AH5" s="296"/>
      <c r="AI5" s="296"/>
      <c r="AJ5" s="296"/>
      <c r="AK5" s="296"/>
      <c r="AL5" s="296"/>
      <c r="AM5" s="296"/>
      <c r="AN5" s="296"/>
      <c r="AO5" s="296"/>
      <c r="AP5" s="296"/>
      <c r="AQ5" s="296"/>
      <c r="AR5" s="296"/>
      <c r="AS5" s="296"/>
      <c r="AT5" s="296"/>
      <c r="AU5" s="296"/>
      <c r="AV5" s="296"/>
      <c r="AW5" s="296"/>
      <c r="AX5" s="296"/>
      <c r="AY5" s="296"/>
      <c r="AZ5" s="296"/>
      <c r="BA5" s="296"/>
      <c r="BB5" s="296"/>
      <c r="BC5" s="296"/>
      <c r="BD5" s="296"/>
      <c r="BE5" s="327" t="str">
        <f>IF(OR(A8="НЕ ВЕРНЫЙ"),"НЕТ ПОДПИСИ","")</f>
        <v/>
      </c>
      <c r="BF5" s="327"/>
      <c r="BG5" s="327"/>
      <c r="BH5" s="327"/>
      <c r="BI5" s="327"/>
      <c r="BJ5" s="327"/>
      <c r="BK5" s="327"/>
      <c r="BL5" s="327"/>
      <c r="BM5" s="327"/>
      <c r="BN5" s="327"/>
      <c r="BO5" s="327"/>
      <c r="BP5" s="327"/>
      <c r="BQ5" s="327"/>
      <c r="BR5" s="327"/>
      <c r="BS5" s="327"/>
      <c r="BT5" s="327"/>
      <c r="BU5" s="327"/>
      <c r="BV5" s="327"/>
      <c r="BW5" s="327"/>
      <c r="BX5" s="327"/>
      <c r="BY5" s="197"/>
      <c r="BZ5" s="322" t="str">
        <f>INDEX(УЧРЕЖДЕНИЯ!K14:K53,MATCH(ТИТУЛ!CO20,УЧРЕЖДЕНИЯ!C14:C53,0))</f>
        <v>Габдулин Шамиль Рауильевич</v>
      </c>
      <c r="CA5" s="322"/>
      <c r="CB5" s="322"/>
      <c r="CC5" s="322"/>
      <c r="CD5" s="322"/>
      <c r="CE5" s="322"/>
      <c r="CF5" s="322"/>
      <c r="CG5" s="322"/>
      <c r="CH5" s="322"/>
      <c r="CI5" s="322"/>
      <c r="CJ5" s="322"/>
      <c r="CK5" s="322"/>
      <c r="CL5" s="322"/>
      <c r="CM5" s="322"/>
      <c r="CN5" s="322"/>
      <c r="CO5" s="322"/>
      <c r="CP5" s="322"/>
      <c r="CQ5" s="322"/>
      <c r="CR5" s="322"/>
      <c r="CS5" s="322"/>
      <c r="CT5" s="322"/>
      <c r="CU5" s="322"/>
      <c r="CV5" s="322"/>
      <c r="CW5" s="322"/>
      <c r="CX5" s="322"/>
      <c r="CY5" s="322"/>
      <c r="CZ5" s="322"/>
      <c r="DA5" s="322"/>
      <c r="DB5" s="322"/>
      <c r="DC5" s="322"/>
      <c r="DD5" s="322"/>
      <c r="DE5" s="324"/>
      <c r="DF5" s="324"/>
      <c r="DG5" s="324"/>
      <c r="DH5" s="324"/>
      <c r="DI5" s="324"/>
      <c r="DJ5" s="324"/>
      <c r="DK5" s="324"/>
      <c r="DL5" s="324"/>
      <c r="DM5" s="324"/>
      <c r="DN5" s="324"/>
      <c r="DO5" s="324"/>
      <c r="DP5" s="324"/>
      <c r="DQ5" s="324"/>
      <c r="DR5" s="324"/>
      <c r="DS5" s="324"/>
      <c r="DT5" s="324"/>
      <c r="DU5" s="324"/>
      <c r="DV5" s="324"/>
      <c r="DW5" s="324"/>
      <c r="DX5" s="324"/>
      <c r="DY5" s="324"/>
      <c r="DZ5" s="324"/>
      <c r="EA5" s="324"/>
      <c r="EB5" s="324"/>
      <c r="EC5" s="324"/>
      <c r="ED5" s="324"/>
      <c r="EE5" s="324"/>
      <c r="EF5" s="324"/>
      <c r="EG5" s="324"/>
      <c r="EH5" s="324"/>
      <c r="EI5" s="324"/>
      <c r="EJ5" s="324"/>
      <c r="EK5" s="324"/>
      <c r="EL5" s="324"/>
      <c r="EM5" s="324"/>
      <c r="EN5" s="324"/>
      <c r="EO5" s="324"/>
      <c r="EP5" s="324"/>
      <c r="EQ5" s="324"/>
      <c r="ER5" s="324"/>
      <c r="ES5" s="324"/>
      <c r="ET5" s="324"/>
      <c r="EU5" s="324"/>
      <c r="EV5" s="324"/>
      <c r="EW5" s="324"/>
      <c r="EX5" s="324"/>
      <c r="EY5" s="324"/>
      <c r="EZ5" s="324"/>
      <c r="FA5" s="324"/>
      <c r="FB5" s="324"/>
      <c r="FC5" s="324"/>
      <c r="FD5" s="324"/>
    </row>
    <row r="6" spans="1:160" s="3" customFormat="1" ht="14.4" x14ac:dyDescent="0.3">
      <c r="A6" s="4"/>
      <c r="B6" s="5"/>
      <c r="C6" s="5"/>
      <c r="D6" s="5"/>
      <c r="E6" s="273" t="str">
        <f>IF((INDEX(УЧРЕЖДЕНИЯ!$I$14:$I$53,MATCH($CO$20,УЧРЕЖДЕНИЯ!$C$14:$C$53,0)))="АУ",DE6,"")</f>
        <v>Протокол № ___________ от</v>
      </c>
      <c r="F6" s="273"/>
      <c r="G6" s="273"/>
      <c r="H6" s="273"/>
      <c r="I6" s="273"/>
      <c r="J6" s="273"/>
      <c r="K6" s="273"/>
      <c r="L6" s="273"/>
      <c r="M6" s="273"/>
      <c r="N6" s="273"/>
      <c r="O6" s="273"/>
      <c r="P6" s="273"/>
      <c r="Q6" s="273"/>
      <c r="R6" s="273"/>
      <c r="S6" s="273"/>
      <c r="T6" s="273"/>
      <c r="U6" s="273"/>
      <c r="V6" s="273"/>
      <c r="W6" s="273"/>
      <c r="X6" s="273"/>
      <c r="Y6" s="330"/>
      <c r="Z6" s="330"/>
      <c r="AA6" s="330"/>
      <c r="AB6" s="330"/>
      <c r="AC6" s="330"/>
      <c r="AD6" s="330"/>
      <c r="AE6" s="330"/>
      <c r="AF6" s="330"/>
      <c r="AG6" s="330"/>
      <c r="AH6" s="330"/>
      <c r="AI6" s="330"/>
      <c r="AJ6" s="330"/>
      <c r="AK6" s="330"/>
      <c r="AL6" s="330"/>
      <c r="AM6" s="330"/>
      <c r="AN6" s="330"/>
      <c r="AO6" s="330"/>
      <c r="AP6" s="330"/>
      <c r="AQ6" s="330"/>
      <c r="AR6" s="330"/>
      <c r="AS6" s="330"/>
      <c r="AT6" s="330"/>
      <c r="AU6" s="330"/>
      <c r="AV6" s="330"/>
      <c r="AW6" s="330"/>
      <c r="AX6" s="330"/>
      <c r="AY6" s="330"/>
      <c r="AZ6" s="330"/>
      <c r="BA6" s="330"/>
      <c r="BB6" s="330"/>
      <c r="BC6" s="330"/>
      <c r="BD6" s="330"/>
      <c r="BE6" s="315" t="s">
        <v>148</v>
      </c>
      <c r="BF6" s="315"/>
      <c r="BG6" s="315"/>
      <c r="BH6" s="315"/>
      <c r="BI6" s="315"/>
      <c r="BJ6" s="315"/>
      <c r="BK6" s="315"/>
      <c r="BL6" s="315"/>
      <c r="BM6" s="315"/>
      <c r="BN6" s="315"/>
      <c r="BO6" s="315"/>
      <c r="BP6" s="315"/>
      <c r="BQ6" s="315"/>
      <c r="BR6" s="315"/>
      <c r="BS6" s="315"/>
      <c r="BT6" s="315"/>
      <c r="BU6" s="315"/>
      <c r="BV6" s="315"/>
      <c r="BW6" s="315"/>
      <c r="BX6" s="315"/>
      <c r="BY6" s="6"/>
      <c r="BZ6" s="314"/>
      <c r="CA6" s="314"/>
      <c r="CB6" s="314"/>
      <c r="CC6" s="314"/>
      <c r="CD6" s="314"/>
      <c r="CE6" s="314"/>
      <c r="CF6" s="314"/>
      <c r="CG6" s="314"/>
      <c r="CH6" s="314"/>
      <c r="CI6" s="314"/>
      <c r="CJ6" s="314"/>
      <c r="CK6" s="314"/>
      <c r="CL6" s="314"/>
      <c r="CM6" s="314"/>
      <c r="CN6" s="314"/>
      <c r="CO6" s="314"/>
      <c r="CP6" s="314"/>
      <c r="CQ6" s="314"/>
      <c r="CR6" s="314"/>
      <c r="CS6" s="314"/>
      <c r="CT6" s="314"/>
      <c r="CU6" s="314"/>
      <c r="CV6" s="314"/>
      <c r="CW6" s="314"/>
      <c r="CX6" s="314"/>
      <c r="CY6" s="314"/>
      <c r="CZ6" s="314"/>
      <c r="DA6" s="314"/>
      <c r="DB6" s="314"/>
      <c r="DC6" s="314"/>
      <c r="DD6" s="314"/>
      <c r="DE6" s="273" t="s">
        <v>131</v>
      </c>
      <c r="DF6" s="273"/>
      <c r="DG6" s="273"/>
      <c r="DH6" s="273"/>
      <c r="DI6" s="273"/>
      <c r="DJ6" s="273"/>
      <c r="DK6" s="273"/>
      <c r="DL6" s="273"/>
      <c r="DM6" s="273"/>
      <c r="DN6" s="273"/>
      <c r="DO6" s="273"/>
      <c r="DP6" s="273"/>
      <c r="DQ6" s="273"/>
      <c r="DR6" s="273"/>
      <c r="DS6" s="273"/>
      <c r="DT6" s="273"/>
      <c r="DU6" s="273"/>
      <c r="DV6" s="273"/>
      <c r="DW6" s="273"/>
      <c r="DX6" s="273"/>
      <c r="DY6" s="330"/>
      <c r="DZ6" s="330"/>
      <c r="EA6" s="330"/>
      <c r="EB6" s="330"/>
      <c r="EC6" s="330"/>
      <c r="ED6" s="330"/>
      <c r="EE6" s="330"/>
      <c r="EF6" s="330"/>
      <c r="EG6" s="330"/>
      <c r="EH6" s="330"/>
      <c r="EI6" s="330"/>
      <c r="EJ6" s="330"/>
      <c r="EK6" s="330"/>
      <c r="EL6" s="330"/>
      <c r="EM6" s="330"/>
      <c r="EN6" s="330"/>
      <c r="EO6" s="330"/>
      <c r="EP6" s="330"/>
      <c r="EQ6" s="330"/>
      <c r="ER6" s="330"/>
      <c r="ES6" s="330"/>
      <c r="ET6" s="330"/>
      <c r="EU6" s="330"/>
      <c r="EV6" s="330"/>
      <c r="EW6" s="330"/>
      <c r="EX6" s="330"/>
      <c r="EY6" s="330"/>
      <c r="EZ6" s="330"/>
      <c r="FA6" s="330"/>
      <c r="FB6" s="330"/>
      <c r="FC6" s="330"/>
      <c r="FD6" s="330"/>
    </row>
    <row r="7" spans="1:160" ht="14.4" x14ac:dyDescent="0.3">
      <c r="A7" s="197"/>
      <c r="B7" s="197"/>
      <c r="C7" s="197"/>
      <c r="D7" s="197"/>
      <c r="E7" s="197"/>
      <c r="F7" s="197"/>
      <c r="G7" s="197"/>
      <c r="H7" s="197"/>
      <c r="I7" s="197"/>
      <c r="J7" s="197"/>
      <c r="K7" s="197"/>
      <c r="L7" s="197"/>
      <c r="M7" s="199"/>
      <c r="N7" s="328" t="str">
        <f>IF((INDEX(УЧРЕЖДЕНИЯ!$I$14:$I$53,MATCH($CO$20,УЧРЕЖДЕНИЯ!$C$14:$C$53,0)))="АУ",DN7,"")</f>
        <v>"</v>
      </c>
      <c r="O7" s="328"/>
      <c r="P7" s="301">
        <f>IF((INDEX(УЧРЕЖДЕНИЯ!$I$14:$I$53,MATCH($CO$20,УЧРЕЖДЕНИЯ!$C$14:$C$53,0)))="АУ",DP7,"")</f>
        <v>23</v>
      </c>
      <c r="Q7" s="301"/>
      <c r="R7" s="301"/>
      <c r="S7" s="301"/>
      <c r="T7" s="302" t="str">
        <f>IF((INDEX(УЧРЕЖДЕНИЯ!$I$14:$I$53,MATCH($CO$20,УЧРЕЖДЕНИЯ!$C$14:$C$53,0)))="АУ",DT7,"")</f>
        <v>"</v>
      </c>
      <c r="U7" s="302"/>
      <c r="V7" s="301" t="str">
        <f>IF((INDEX(УЧРЕЖДЕНИЯ!$I$14:$I$53,MATCH($CO$20,УЧРЕЖДЕНИЯ!$C$14:$C$53,0)))="АУ",DV7,"")</f>
        <v>МАРТА</v>
      </c>
      <c r="W7" s="301"/>
      <c r="X7" s="301"/>
      <c r="Y7" s="301"/>
      <c r="Z7" s="301"/>
      <c r="AA7" s="301"/>
      <c r="AB7" s="301"/>
      <c r="AC7" s="301"/>
      <c r="AD7" s="301"/>
      <c r="AE7" s="301"/>
      <c r="AF7" s="301"/>
      <c r="AG7" s="301"/>
      <c r="AH7" s="301"/>
      <c r="AI7" s="301"/>
      <c r="AJ7" s="301"/>
      <c r="AK7" s="273">
        <f>IF((INDEX(УЧРЕЖДЕНИЯ!$I$14:$I$53,MATCH($CO$20,УЧРЕЖДЕНИЯ!$C$14:$C$53,0)))="АУ",EN7,"")</f>
        <v>2021</v>
      </c>
      <c r="AL7" s="274"/>
      <c r="AM7" s="274"/>
      <c r="AN7" s="274"/>
      <c r="AO7" s="274"/>
      <c r="AP7" s="274"/>
      <c r="AQ7" s="274"/>
      <c r="AR7" s="197" t="str">
        <f>IF((INDEX(УЧРЕЖДЕНИЯ!$I$14:$I$53,MATCH($CO$20,УЧРЕЖДЕНИЯ!$C$14:$C$53,0)))="АУ",ER7,"")</f>
        <v>Г.</v>
      </c>
      <c r="AS7" s="197"/>
      <c r="AT7" s="197"/>
      <c r="AU7" s="197"/>
      <c r="AV7" s="197"/>
      <c r="AW7" s="197"/>
      <c r="AX7" s="197"/>
      <c r="AY7" s="197"/>
      <c r="AZ7" s="197"/>
      <c r="BA7" s="197"/>
      <c r="BB7" s="197"/>
      <c r="BC7" s="197"/>
      <c r="BD7" s="197"/>
      <c r="BE7" s="197"/>
      <c r="BF7" s="197"/>
      <c r="BG7" s="15" t="s">
        <v>143</v>
      </c>
      <c r="BH7" s="197"/>
      <c r="BI7" s="197"/>
      <c r="BJ7" s="197"/>
      <c r="BK7" s="197"/>
      <c r="BL7" s="197"/>
      <c r="BM7" s="197"/>
      <c r="BN7" s="300"/>
      <c r="BO7" s="300"/>
      <c r="BP7" s="301"/>
      <c r="BQ7" s="301"/>
      <c r="BR7" s="301"/>
      <c r="BS7" s="301"/>
      <c r="BT7" s="302"/>
      <c r="BU7" s="302"/>
      <c r="BV7" s="301"/>
      <c r="BW7" s="301"/>
      <c r="BX7" s="301"/>
      <c r="BY7" s="301"/>
      <c r="BZ7" s="301"/>
      <c r="CA7" s="301"/>
      <c r="CB7" s="301"/>
      <c r="CC7" s="301"/>
      <c r="CD7" s="301"/>
      <c r="CE7" s="301"/>
      <c r="CF7" s="301"/>
      <c r="CG7" s="301"/>
      <c r="CH7" s="301"/>
      <c r="CI7" s="301"/>
      <c r="CJ7" s="301"/>
      <c r="CK7" s="328"/>
      <c r="CL7" s="328"/>
      <c r="CM7" s="328"/>
      <c r="CN7" s="331"/>
      <c r="CO7" s="331"/>
      <c r="CP7" s="331"/>
      <c r="CQ7" s="331"/>
      <c r="CR7" s="199"/>
      <c r="CS7" s="199"/>
      <c r="CT7" s="199"/>
      <c r="CU7" s="199"/>
      <c r="CV7" s="199"/>
      <c r="CW7" s="199"/>
      <c r="CX7" s="199"/>
      <c r="CY7" s="197"/>
      <c r="CZ7" s="197"/>
      <c r="DA7" s="197"/>
      <c r="DB7" s="197"/>
      <c r="DC7" s="197"/>
      <c r="DD7" s="197"/>
      <c r="DE7" s="340" t="s">
        <v>744</v>
      </c>
      <c r="DF7" s="341"/>
      <c r="DG7" s="341"/>
      <c r="DH7" s="341"/>
      <c r="DI7" s="341"/>
      <c r="DJ7" s="341"/>
      <c r="DK7" s="197"/>
      <c r="DL7" s="197"/>
      <c r="DM7" s="197"/>
      <c r="DN7" s="300" t="s">
        <v>7</v>
      </c>
      <c r="DO7" s="300"/>
      <c r="DP7" s="313">
        <f>DF8</f>
        <v>23</v>
      </c>
      <c r="DQ7" s="313"/>
      <c r="DR7" s="313"/>
      <c r="DS7" s="313"/>
      <c r="DT7" s="312" t="s">
        <v>7</v>
      </c>
      <c r="DU7" s="312"/>
      <c r="DV7" s="313" t="str">
        <f>DF9</f>
        <v>МАРТА</v>
      </c>
      <c r="DW7" s="313"/>
      <c r="DX7" s="313"/>
      <c r="DY7" s="313"/>
      <c r="DZ7" s="313"/>
      <c r="EA7" s="313"/>
      <c r="EB7" s="313"/>
      <c r="EC7" s="313"/>
      <c r="ED7" s="313"/>
      <c r="EE7" s="313"/>
      <c r="EF7" s="313"/>
      <c r="EG7" s="313"/>
      <c r="EH7" s="313"/>
      <c r="EI7" s="313"/>
      <c r="EJ7" s="313"/>
      <c r="EK7" s="328"/>
      <c r="EL7" s="328"/>
      <c r="EM7" s="328"/>
      <c r="EN7" s="329">
        <f>DF10</f>
        <v>2021</v>
      </c>
      <c r="EO7" s="329"/>
      <c r="EP7" s="329"/>
      <c r="EQ7" s="329"/>
      <c r="ER7" s="197" t="s">
        <v>782</v>
      </c>
      <c r="ES7" s="197"/>
      <c r="ET7" s="197"/>
      <c r="EU7" s="197"/>
      <c r="EV7" s="197"/>
      <c r="EW7" s="197"/>
      <c r="EX7" s="197"/>
      <c r="EY7" s="197"/>
      <c r="EZ7" s="197"/>
      <c r="FA7" s="197"/>
      <c r="FB7" s="197"/>
      <c r="FC7" s="197"/>
      <c r="FD7" s="197"/>
    </row>
    <row r="8" spans="1:160" x14ac:dyDescent="0.25">
      <c r="A8" s="345" t="str">
        <f>IF(OR(ПОКАЗАТЕЛИ!J301="НЕТ ПОДПИСИ",A27="НЕ ЗАПОЛНЕНО",IF('ИНЫЕ ЦЕЛИ'!A1="НЕ ПЕЧАТАЕТЬСЯ",FALSE,IF('ИНЫЕ ЦЕЛИ'!J72="НЕТ ПОДПИСИ",TRUE,FALSE)),BV22="НЕ ВЕРНО"),"НЕ ВЕРНЫЙ","")</f>
        <v/>
      </c>
      <c r="B8" s="346"/>
      <c r="C8" s="346"/>
      <c r="D8" s="346"/>
      <c r="E8" s="346"/>
      <c r="F8" s="346"/>
      <c r="G8" s="346"/>
      <c r="H8" s="346"/>
      <c r="I8" s="346"/>
      <c r="J8" s="346"/>
      <c r="K8" s="346"/>
      <c r="L8" s="346"/>
      <c r="M8" s="346"/>
      <c r="N8" s="346"/>
      <c r="O8" s="346"/>
      <c r="P8" s="346"/>
      <c r="Q8" s="346"/>
      <c r="R8" s="346"/>
      <c r="S8" s="346"/>
      <c r="T8" s="346"/>
      <c r="U8" s="346"/>
      <c r="V8" s="346"/>
      <c r="W8" s="346"/>
      <c r="X8" s="346"/>
      <c r="Y8" s="346"/>
      <c r="Z8" s="346"/>
      <c r="AA8" s="346"/>
      <c r="AB8" s="346"/>
      <c r="AC8" s="346"/>
      <c r="AD8" s="346"/>
      <c r="AE8" s="346"/>
      <c r="AF8" s="346"/>
      <c r="AG8" s="346"/>
      <c r="AH8" s="346"/>
      <c r="AI8" s="346"/>
      <c r="AJ8" s="346"/>
      <c r="AK8" s="346"/>
      <c r="AL8" s="346"/>
      <c r="AM8" s="346"/>
      <c r="AN8" s="346"/>
      <c r="AO8" s="346"/>
      <c r="AP8" s="346"/>
      <c r="AQ8" s="346"/>
      <c r="AR8" s="346"/>
      <c r="AS8" s="346"/>
      <c r="AT8" s="346"/>
      <c r="AU8" s="346"/>
      <c r="AV8" s="346"/>
      <c r="AW8" s="346"/>
      <c r="AX8" s="346"/>
      <c r="AY8" s="346"/>
      <c r="AZ8" s="346"/>
      <c r="BA8" s="346"/>
      <c r="BB8" s="346"/>
      <c r="BC8" s="346"/>
      <c r="BD8" s="346"/>
      <c r="BE8" s="346"/>
      <c r="BF8" s="346"/>
      <c r="BG8" s="346"/>
      <c r="BH8" s="346"/>
      <c r="BI8" s="346"/>
      <c r="BJ8" s="346"/>
      <c r="BK8" s="346"/>
      <c r="BL8" s="346"/>
      <c r="BM8" s="346"/>
      <c r="BN8" s="346"/>
      <c r="BO8" s="346"/>
      <c r="BP8" s="346"/>
      <c r="BQ8" s="346"/>
      <c r="BR8" s="346"/>
      <c r="BS8" s="346"/>
      <c r="BT8" s="346"/>
      <c r="BU8" s="346"/>
      <c r="BV8" s="346"/>
      <c r="BW8" s="346"/>
      <c r="BX8" s="346"/>
      <c r="BY8" s="346"/>
      <c r="BZ8" s="346"/>
      <c r="CA8" s="346"/>
      <c r="CB8" s="346"/>
      <c r="CC8" s="346"/>
      <c r="CD8" s="346"/>
      <c r="CE8" s="346"/>
      <c r="CF8" s="346"/>
      <c r="CG8" s="346"/>
      <c r="CH8" s="346"/>
      <c r="CI8" s="346"/>
      <c r="CJ8" s="346"/>
      <c r="CK8" s="346"/>
      <c r="CL8" s="346"/>
      <c r="CM8" s="346"/>
      <c r="CN8" s="346"/>
      <c r="CO8" s="346"/>
      <c r="CP8" s="346"/>
      <c r="CQ8" s="346"/>
      <c r="CR8" s="346"/>
      <c r="CS8" s="346"/>
      <c r="CT8" s="346"/>
      <c r="CU8" s="346"/>
      <c r="CV8" s="346"/>
      <c r="CW8" s="346"/>
      <c r="CX8" s="346"/>
      <c r="CY8" s="346"/>
      <c r="CZ8" s="346"/>
      <c r="DA8" s="346"/>
      <c r="DB8" s="346"/>
      <c r="DC8" s="346"/>
      <c r="DD8" s="346"/>
      <c r="DE8" s="2" t="s">
        <v>785</v>
      </c>
      <c r="DF8" s="240">
        <v>23</v>
      </c>
    </row>
    <row r="9" spans="1:160" ht="12.75" customHeight="1" x14ac:dyDescent="0.25">
      <c r="A9" s="346"/>
      <c r="B9" s="346"/>
      <c r="C9" s="346"/>
      <c r="D9" s="346"/>
      <c r="E9" s="346"/>
      <c r="F9" s="346"/>
      <c r="G9" s="346"/>
      <c r="H9" s="346"/>
      <c r="I9" s="346"/>
      <c r="J9" s="346"/>
      <c r="K9" s="346"/>
      <c r="L9" s="346"/>
      <c r="M9" s="346"/>
      <c r="N9" s="346"/>
      <c r="O9" s="346"/>
      <c r="P9" s="346"/>
      <c r="Q9" s="346"/>
      <c r="R9" s="346"/>
      <c r="S9" s="346"/>
      <c r="T9" s="346"/>
      <c r="U9" s="346"/>
      <c r="V9" s="346"/>
      <c r="W9" s="346"/>
      <c r="X9" s="346"/>
      <c r="Y9" s="346"/>
      <c r="Z9" s="346"/>
      <c r="AA9" s="346"/>
      <c r="AB9" s="346"/>
      <c r="AC9" s="346"/>
      <c r="AD9" s="346"/>
      <c r="AE9" s="346"/>
      <c r="AF9" s="346"/>
      <c r="AG9" s="346"/>
      <c r="AH9" s="346"/>
      <c r="AI9" s="346"/>
      <c r="AJ9" s="346"/>
      <c r="AK9" s="346"/>
      <c r="AL9" s="346"/>
      <c r="AM9" s="346"/>
      <c r="AN9" s="346"/>
      <c r="AO9" s="346"/>
      <c r="AP9" s="346"/>
      <c r="AQ9" s="346"/>
      <c r="AR9" s="346"/>
      <c r="AS9" s="346"/>
      <c r="AT9" s="346"/>
      <c r="AU9" s="346"/>
      <c r="AV9" s="346"/>
      <c r="AW9" s="346"/>
      <c r="AX9" s="346"/>
      <c r="AY9" s="346"/>
      <c r="AZ9" s="346"/>
      <c r="BA9" s="346"/>
      <c r="BB9" s="346"/>
      <c r="BC9" s="346"/>
      <c r="BD9" s="346"/>
      <c r="BE9" s="346"/>
      <c r="BF9" s="346"/>
      <c r="BG9" s="346"/>
      <c r="BH9" s="346"/>
      <c r="BI9" s="346"/>
      <c r="BJ9" s="346"/>
      <c r="BK9" s="346"/>
      <c r="BL9" s="346"/>
      <c r="BM9" s="346"/>
      <c r="BN9" s="346"/>
      <c r="BO9" s="346"/>
      <c r="BP9" s="346"/>
      <c r="BQ9" s="346"/>
      <c r="BR9" s="346"/>
      <c r="BS9" s="346"/>
      <c r="BT9" s="346"/>
      <c r="BU9" s="346"/>
      <c r="BV9" s="346"/>
      <c r="BW9" s="346"/>
      <c r="BX9" s="346"/>
      <c r="BY9" s="346"/>
      <c r="BZ9" s="346"/>
      <c r="CA9" s="346"/>
      <c r="CB9" s="346"/>
      <c r="CC9" s="346"/>
      <c r="CD9" s="346"/>
      <c r="CE9" s="346"/>
      <c r="CF9" s="346"/>
      <c r="CG9" s="346"/>
      <c r="CH9" s="346"/>
      <c r="CI9" s="346"/>
      <c r="CJ9" s="346"/>
      <c r="CK9" s="346"/>
      <c r="CL9" s="346"/>
      <c r="CM9" s="346"/>
      <c r="CN9" s="346"/>
      <c r="CO9" s="346"/>
      <c r="CP9" s="346"/>
      <c r="CQ9" s="346"/>
      <c r="CR9" s="346"/>
      <c r="CS9" s="346"/>
      <c r="CT9" s="346"/>
      <c r="CU9" s="346"/>
      <c r="CV9" s="346"/>
      <c r="CW9" s="346"/>
      <c r="CX9" s="346"/>
      <c r="CY9" s="346"/>
      <c r="CZ9" s="346"/>
      <c r="DA9" s="346"/>
      <c r="DB9" s="346"/>
      <c r="DC9" s="346"/>
      <c r="DD9" s="346"/>
      <c r="DE9" s="2" t="s">
        <v>786</v>
      </c>
      <c r="DF9" s="240" t="s">
        <v>790</v>
      </c>
    </row>
    <row r="10" spans="1:160" ht="12.75" customHeight="1" x14ac:dyDescent="0.25">
      <c r="A10" s="346"/>
      <c r="B10" s="346"/>
      <c r="C10" s="346"/>
      <c r="D10" s="346"/>
      <c r="E10" s="346"/>
      <c r="F10" s="346"/>
      <c r="G10" s="346"/>
      <c r="H10" s="346"/>
      <c r="I10" s="346"/>
      <c r="J10" s="346"/>
      <c r="K10" s="346"/>
      <c r="L10" s="346"/>
      <c r="M10" s="346"/>
      <c r="N10" s="346"/>
      <c r="O10" s="346"/>
      <c r="P10" s="346"/>
      <c r="Q10" s="346"/>
      <c r="R10" s="346"/>
      <c r="S10" s="346"/>
      <c r="T10" s="346"/>
      <c r="U10" s="346"/>
      <c r="V10" s="346"/>
      <c r="W10" s="346"/>
      <c r="X10" s="346"/>
      <c r="Y10" s="346"/>
      <c r="Z10" s="346"/>
      <c r="AA10" s="346"/>
      <c r="AB10" s="346"/>
      <c r="AC10" s="346"/>
      <c r="AD10" s="346"/>
      <c r="AE10" s="346"/>
      <c r="AF10" s="346"/>
      <c r="AG10" s="346"/>
      <c r="AH10" s="346"/>
      <c r="AI10" s="346"/>
      <c r="AJ10" s="346"/>
      <c r="AK10" s="346"/>
      <c r="AL10" s="346"/>
      <c r="AM10" s="346"/>
      <c r="AN10" s="346"/>
      <c r="AO10" s="346"/>
      <c r="AP10" s="346"/>
      <c r="AQ10" s="346"/>
      <c r="AR10" s="346"/>
      <c r="AS10" s="346"/>
      <c r="AT10" s="346"/>
      <c r="AU10" s="346"/>
      <c r="AV10" s="346"/>
      <c r="AW10" s="346"/>
      <c r="AX10" s="346"/>
      <c r="AY10" s="346"/>
      <c r="AZ10" s="346"/>
      <c r="BA10" s="346"/>
      <c r="BB10" s="346"/>
      <c r="BC10" s="346"/>
      <c r="BD10" s="346"/>
      <c r="BE10" s="346"/>
      <c r="BF10" s="346"/>
      <c r="BG10" s="346"/>
      <c r="BH10" s="346"/>
      <c r="BI10" s="346"/>
      <c r="BJ10" s="346"/>
      <c r="BK10" s="346"/>
      <c r="BL10" s="346"/>
      <c r="BM10" s="346"/>
      <c r="BN10" s="346"/>
      <c r="BO10" s="346"/>
      <c r="BP10" s="346"/>
      <c r="BQ10" s="346"/>
      <c r="BR10" s="346"/>
      <c r="BS10" s="346"/>
      <c r="BT10" s="346"/>
      <c r="BU10" s="346"/>
      <c r="BV10" s="346"/>
      <c r="BW10" s="346"/>
      <c r="BX10" s="346"/>
      <c r="BY10" s="346"/>
      <c r="BZ10" s="346"/>
      <c r="CA10" s="346"/>
      <c r="CB10" s="346"/>
      <c r="CC10" s="346"/>
      <c r="CD10" s="346"/>
      <c r="CE10" s="346"/>
      <c r="CF10" s="346"/>
      <c r="CG10" s="346"/>
      <c r="CH10" s="346"/>
      <c r="CI10" s="346"/>
      <c r="CJ10" s="346"/>
      <c r="CK10" s="346"/>
      <c r="CL10" s="346"/>
      <c r="CM10" s="346"/>
      <c r="CN10" s="346"/>
      <c r="CO10" s="346"/>
      <c r="CP10" s="346"/>
      <c r="CQ10" s="346"/>
      <c r="CR10" s="346"/>
      <c r="CS10" s="346"/>
      <c r="CT10" s="346"/>
      <c r="CU10" s="346"/>
      <c r="CV10" s="346"/>
      <c r="CW10" s="346"/>
      <c r="CX10" s="346"/>
      <c r="CY10" s="346"/>
      <c r="CZ10" s="346"/>
      <c r="DA10" s="346"/>
      <c r="DB10" s="346"/>
      <c r="DC10" s="346"/>
      <c r="DD10" s="346"/>
      <c r="DE10" s="2" t="s">
        <v>787</v>
      </c>
      <c r="DF10" s="240">
        <v>2021</v>
      </c>
    </row>
    <row r="11" spans="1:160" ht="12.75" customHeight="1" x14ac:dyDescent="0.25">
      <c r="A11" s="346"/>
      <c r="B11" s="346"/>
      <c r="C11" s="346"/>
      <c r="D11" s="346"/>
      <c r="E11" s="346"/>
      <c r="F11" s="346"/>
      <c r="G11" s="346"/>
      <c r="H11" s="346"/>
      <c r="I11" s="346"/>
      <c r="J11" s="346"/>
      <c r="K11" s="346"/>
      <c r="L11" s="346"/>
      <c r="M11" s="346"/>
      <c r="N11" s="346"/>
      <c r="O11" s="346"/>
      <c r="P11" s="346"/>
      <c r="Q11" s="346"/>
      <c r="R11" s="346"/>
      <c r="S11" s="346"/>
      <c r="T11" s="346"/>
      <c r="U11" s="346"/>
      <c r="V11" s="346"/>
      <c r="W11" s="346"/>
      <c r="X11" s="346"/>
      <c r="Y11" s="346"/>
      <c r="Z11" s="346"/>
      <c r="AA11" s="346"/>
      <c r="AB11" s="346"/>
      <c r="AC11" s="346"/>
      <c r="AD11" s="346"/>
      <c r="AE11" s="346"/>
      <c r="AF11" s="346"/>
      <c r="AG11" s="346"/>
      <c r="AH11" s="346"/>
      <c r="AI11" s="346"/>
      <c r="AJ11" s="346"/>
      <c r="AK11" s="346"/>
      <c r="AL11" s="346"/>
      <c r="AM11" s="346"/>
      <c r="AN11" s="346"/>
      <c r="AO11" s="346"/>
      <c r="AP11" s="346"/>
      <c r="AQ11" s="346"/>
      <c r="AR11" s="346"/>
      <c r="AS11" s="346"/>
      <c r="AT11" s="346"/>
      <c r="AU11" s="346"/>
      <c r="AV11" s="346"/>
      <c r="AW11" s="346"/>
      <c r="AX11" s="346"/>
      <c r="AY11" s="346"/>
      <c r="AZ11" s="346"/>
      <c r="BA11" s="346"/>
      <c r="BB11" s="346"/>
      <c r="BC11" s="346"/>
      <c r="BD11" s="346"/>
      <c r="BE11" s="346"/>
      <c r="BF11" s="346"/>
      <c r="BG11" s="346"/>
      <c r="BH11" s="346"/>
      <c r="BI11" s="346"/>
      <c r="BJ11" s="346"/>
      <c r="BK11" s="346"/>
      <c r="BL11" s="346"/>
      <c r="BM11" s="346"/>
      <c r="BN11" s="346"/>
      <c r="BO11" s="346"/>
      <c r="BP11" s="346"/>
      <c r="BQ11" s="346"/>
      <c r="BR11" s="346"/>
      <c r="BS11" s="346"/>
      <c r="BT11" s="346"/>
      <c r="BU11" s="346"/>
      <c r="BV11" s="346"/>
      <c r="BW11" s="346"/>
      <c r="BX11" s="346"/>
      <c r="BY11" s="346"/>
      <c r="BZ11" s="346"/>
      <c r="CA11" s="346"/>
      <c r="CB11" s="346"/>
      <c r="CC11" s="346"/>
      <c r="CD11" s="346"/>
      <c r="CE11" s="346"/>
      <c r="CF11" s="346"/>
      <c r="CG11" s="346"/>
      <c r="CH11" s="346"/>
      <c r="CI11" s="346"/>
      <c r="CJ11" s="346"/>
      <c r="CK11" s="346"/>
      <c r="CL11" s="346"/>
      <c r="CM11" s="346"/>
      <c r="CN11" s="346"/>
      <c r="CO11" s="346"/>
      <c r="CP11" s="346"/>
      <c r="CQ11" s="346"/>
      <c r="CR11" s="346"/>
      <c r="CS11" s="346"/>
      <c r="CT11" s="346"/>
      <c r="CU11" s="346"/>
      <c r="CV11" s="346"/>
      <c r="CW11" s="346"/>
      <c r="CX11" s="346"/>
      <c r="CY11" s="346"/>
      <c r="CZ11" s="346"/>
      <c r="DA11" s="346"/>
      <c r="DB11" s="346"/>
      <c r="DC11" s="346"/>
      <c r="DD11" s="346"/>
      <c r="DE11" s="2" t="s">
        <v>799</v>
      </c>
      <c r="DF11" s="240" t="s">
        <v>660</v>
      </c>
    </row>
    <row r="12" spans="1:160" ht="12.75" customHeight="1" x14ac:dyDescent="0.25">
      <c r="A12" s="347"/>
      <c r="B12" s="347"/>
      <c r="C12" s="347"/>
      <c r="D12" s="347"/>
      <c r="E12" s="347"/>
      <c r="F12" s="347"/>
      <c r="G12" s="347"/>
      <c r="H12" s="347"/>
      <c r="I12" s="347"/>
      <c r="J12" s="347"/>
      <c r="K12" s="347"/>
      <c r="L12" s="347"/>
      <c r="M12" s="347"/>
      <c r="N12" s="347"/>
      <c r="O12" s="347"/>
      <c r="P12" s="347"/>
      <c r="Q12" s="347"/>
      <c r="R12" s="347"/>
      <c r="S12" s="347"/>
      <c r="T12" s="347"/>
      <c r="U12" s="347"/>
      <c r="V12" s="347"/>
      <c r="W12" s="347"/>
      <c r="X12" s="347"/>
      <c r="Y12" s="347"/>
      <c r="Z12" s="347"/>
      <c r="AA12" s="347"/>
      <c r="AB12" s="347"/>
      <c r="AC12" s="347"/>
      <c r="AD12" s="347"/>
      <c r="AE12" s="347"/>
      <c r="AF12" s="347"/>
      <c r="AG12" s="347"/>
      <c r="AH12" s="347"/>
      <c r="AI12" s="347"/>
      <c r="AJ12" s="347"/>
      <c r="AK12" s="347"/>
      <c r="AL12" s="347"/>
      <c r="AM12" s="347"/>
      <c r="AN12" s="347"/>
      <c r="AO12" s="347"/>
      <c r="AP12" s="347"/>
      <c r="AQ12" s="347"/>
      <c r="AR12" s="347"/>
      <c r="AS12" s="347"/>
      <c r="AT12" s="347"/>
      <c r="AU12" s="347"/>
      <c r="AV12" s="347"/>
      <c r="AW12" s="347"/>
      <c r="AX12" s="347"/>
      <c r="AY12" s="347"/>
      <c r="AZ12" s="347"/>
      <c r="BA12" s="347"/>
      <c r="BB12" s="347"/>
      <c r="BC12" s="347"/>
      <c r="BD12" s="347"/>
      <c r="BE12" s="347"/>
      <c r="BF12" s="347"/>
      <c r="BG12" s="347"/>
      <c r="BH12" s="347"/>
      <c r="BI12" s="347"/>
      <c r="BJ12" s="347"/>
      <c r="BK12" s="347"/>
      <c r="BL12" s="347"/>
      <c r="BM12" s="347"/>
      <c r="BN12" s="347"/>
      <c r="BO12" s="347"/>
      <c r="BP12" s="347"/>
      <c r="BQ12" s="347"/>
      <c r="BR12" s="347"/>
      <c r="BS12" s="347"/>
      <c r="BT12" s="347"/>
      <c r="BU12" s="347"/>
      <c r="BV12" s="347"/>
      <c r="BW12" s="347"/>
      <c r="BX12" s="347"/>
      <c r="BY12" s="347"/>
      <c r="BZ12" s="347"/>
      <c r="CA12" s="347"/>
      <c r="CB12" s="347"/>
      <c r="CC12" s="347"/>
      <c r="CD12" s="347"/>
      <c r="CE12" s="347"/>
      <c r="CF12" s="347"/>
      <c r="CG12" s="347"/>
      <c r="CH12" s="347"/>
      <c r="CI12" s="347"/>
      <c r="CJ12" s="347"/>
      <c r="CK12" s="347"/>
      <c r="CL12" s="347"/>
      <c r="CM12" s="347"/>
      <c r="CN12" s="347"/>
      <c r="CO12" s="347"/>
      <c r="CP12" s="347"/>
      <c r="CQ12" s="347"/>
      <c r="CR12" s="347"/>
      <c r="CS12" s="347"/>
      <c r="CT12" s="347"/>
      <c r="CU12" s="347"/>
      <c r="CV12" s="347"/>
      <c r="CW12" s="347"/>
      <c r="CX12" s="347"/>
      <c r="CY12" s="347"/>
      <c r="CZ12" s="347"/>
      <c r="DA12" s="347"/>
      <c r="DB12" s="347"/>
      <c r="DC12" s="347"/>
      <c r="DD12" s="347"/>
      <c r="DE12" s="2" t="s">
        <v>800</v>
      </c>
      <c r="DF12" s="240">
        <v>3</v>
      </c>
    </row>
    <row r="13" spans="1:160" s="7" customFormat="1" ht="15.6" x14ac:dyDescent="0.3">
      <c r="A13" s="348" t="s">
        <v>784</v>
      </c>
      <c r="B13" s="348"/>
      <c r="C13" s="348"/>
      <c r="D13" s="348"/>
      <c r="E13" s="348"/>
      <c r="F13" s="348"/>
      <c r="G13" s="348"/>
      <c r="H13" s="348"/>
      <c r="I13" s="348"/>
      <c r="J13" s="348"/>
      <c r="K13" s="348"/>
      <c r="L13" s="348"/>
      <c r="M13" s="348"/>
      <c r="N13" s="348"/>
      <c r="O13" s="348"/>
      <c r="P13" s="348"/>
      <c r="Q13" s="348"/>
      <c r="R13" s="348"/>
      <c r="S13" s="348"/>
      <c r="T13" s="348"/>
      <c r="U13" s="348"/>
      <c r="V13" s="348"/>
      <c r="W13" s="348"/>
      <c r="X13" s="348"/>
      <c r="Y13" s="348"/>
      <c r="Z13" s="348"/>
      <c r="AA13" s="348"/>
      <c r="AB13" s="348"/>
      <c r="AC13" s="348"/>
      <c r="AD13" s="348"/>
      <c r="AE13" s="348"/>
      <c r="AF13" s="348"/>
      <c r="AG13" s="348"/>
      <c r="AH13" s="348"/>
      <c r="AI13" s="348"/>
      <c r="AJ13" s="348"/>
      <c r="AK13" s="348"/>
      <c r="AL13" s="348"/>
      <c r="AM13" s="348"/>
      <c r="AN13" s="348"/>
      <c r="AO13" s="348"/>
      <c r="AP13" s="348"/>
      <c r="AQ13" s="348"/>
      <c r="AR13" s="348"/>
      <c r="AS13" s="348"/>
      <c r="AT13" s="348"/>
      <c r="AU13" s="348"/>
      <c r="AV13" s="348"/>
      <c r="AW13" s="348"/>
      <c r="AX13" s="348"/>
      <c r="AY13" s="348"/>
      <c r="AZ13" s="348"/>
      <c r="BA13" s="348"/>
      <c r="BB13" s="348"/>
      <c r="BC13" s="348"/>
      <c r="BD13" s="348"/>
      <c r="BE13" s="348"/>
      <c r="BF13" s="348"/>
      <c r="BG13" s="348"/>
      <c r="BH13" s="348"/>
      <c r="BI13" s="348"/>
      <c r="BJ13" s="348"/>
      <c r="BK13" s="348"/>
      <c r="BL13" s="348"/>
      <c r="BM13" s="348"/>
      <c r="BN13" s="348"/>
      <c r="BO13" s="348"/>
      <c r="BP13" s="348"/>
      <c r="BQ13" s="348"/>
      <c r="BR13" s="348"/>
      <c r="BS13" s="348"/>
      <c r="BT13" s="348"/>
      <c r="BU13" s="348"/>
      <c r="BV13" s="348"/>
      <c r="BW13" s="348"/>
      <c r="BX13" s="348"/>
      <c r="BY13" s="348"/>
      <c r="BZ13" s="348"/>
      <c r="CA13" s="348"/>
      <c r="CB13" s="348"/>
      <c r="CC13" s="348"/>
      <c r="CD13" s="348"/>
      <c r="CE13" s="348"/>
      <c r="CF13" s="348"/>
      <c r="CG13" s="348"/>
      <c r="CH13" s="348"/>
      <c r="CI13" s="348"/>
      <c r="CJ13" s="348"/>
      <c r="CK13" s="348"/>
      <c r="CL13" s="348"/>
      <c r="CM13" s="348"/>
      <c r="CN13" s="348"/>
      <c r="CO13" s="348"/>
      <c r="CP13" s="348"/>
      <c r="CQ13" s="348"/>
      <c r="CR13" s="348"/>
      <c r="CS13" s="348"/>
      <c r="CT13" s="348"/>
      <c r="CU13" s="348"/>
      <c r="CV13" s="348"/>
      <c r="CW13" s="348"/>
      <c r="CX13" s="348"/>
      <c r="CY13" s="348"/>
      <c r="CZ13" s="348"/>
      <c r="DA13" s="348"/>
      <c r="DB13" s="348"/>
      <c r="DC13" s="348"/>
      <c r="DD13" s="348"/>
    </row>
    <row r="14" spans="1:160" s="8" customFormat="1" ht="15.6" x14ac:dyDescent="0.3">
      <c r="A14" s="344" t="str">
        <f>CONCATENATE("НА ",DF10," ГОД"," И НА ПЛАНОВЫЙ ПЕРИОД ",DF10+1," И ",DF10+2," ГОДОВ")</f>
        <v>НА 2021 ГОД И НА ПЛАНОВЫЙ ПЕРИОД 2022 И 2023 ГОДОВ</v>
      </c>
      <c r="B14" s="344"/>
      <c r="C14" s="344"/>
      <c r="D14" s="344"/>
      <c r="E14" s="344"/>
      <c r="F14" s="344"/>
      <c r="G14" s="344"/>
      <c r="H14" s="344"/>
      <c r="I14" s="344"/>
      <c r="J14" s="344"/>
      <c r="K14" s="344"/>
      <c r="L14" s="344"/>
      <c r="M14" s="344"/>
      <c r="N14" s="344"/>
      <c r="O14" s="344"/>
      <c r="P14" s="344"/>
      <c r="Q14" s="344"/>
      <c r="R14" s="344"/>
      <c r="S14" s="344"/>
      <c r="T14" s="344"/>
      <c r="U14" s="344"/>
      <c r="V14" s="344"/>
      <c r="W14" s="344"/>
      <c r="X14" s="344"/>
      <c r="Y14" s="344"/>
      <c r="Z14" s="344"/>
      <c r="AA14" s="344"/>
      <c r="AB14" s="344"/>
      <c r="AC14" s="344"/>
      <c r="AD14" s="344"/>
      <c r="AE14" s="344"/>
      <c r="AF14" s="344"/>
      <c r="AG14" s="344"/>
      <c r="AH14" s="344"/>
      <c r="AI14" s="344"/>
      <c r="AJ14" s="344"/>
      <c r="AK14" s="344"/>
      <c r="AL14" s="344"/>
      <c r="AM14" s="344"/>
      <c r="AN14" s="344"/>
      <c r="AO14" s="344"/>
      <c r="AP14" s="344"/>
      <c r="AQ14" s="344"/>
      <c r="AR14" s="344"/>
      <c r="AS14" s="344"/>
      <c r="AT14" s="344"/>
      <c r="AU14" s="344"/>
      <c r="AV14" s="344"/>
      <c r="AW14" s="344"/>
      <c r="AX14" s="344"/>
      <c r="AY14" s="344"/>
      <c r="AZ14" s="344"/>
      <c r="BA14" s="344"/>
      <c r="BB14" s="344"/>
      <c r="BC14" s="344"/>
      <c r="BD14" s="344"/>
      <c r="BE14" s="344"/>
      <c r="BF14" s="344"/>
      <c r="BG14" s="344"/>
      <c r="BH14" s="344"/>
      <c r="BI14" s="344"/>
      <c r="BJ14" s="344"/>
      <c r="BK14" s="344"/>
      <c r="BL14" s="344"/>
      <c r="BM14" s="344"/>
      <c r="BN14" s="344"/>
      <c r="BO14" s="344"/>
      <c r="BP14" s="344"/>
      <c r="BQ14" s="344"/>
      <c r="BR14" s="344"/>
      <c r="BS14" s="344"/>
      <c r="BT14" s="344"/>
      <c r="BU14" s="344"/>
      <c r="BV14" s="344"/>
      <c r="BW14" s="344"/>
      <c r="BX14" s="344"/>
      <c r="BY14" s="344"/>
      <c r="BZ14" s="344"/>
      <c r="CA14" s="344"/>
      <c r="CB14" s="344"/>
      <c r="CC14" s="344"/>
      <c r="CD14" s="344"/>
      <c r="CE14" s="344"/>
      <c r="CF14" s="344"/>
      <c r="CG14" s="344"/>
      <c r="CH14" s="344"/>
      <c r="CI14" s="344"/>
      <c r="CJ14" s="344"/>
      <c r="CK14" s="344"/>
      <c r="CL14" s="344"/>
      <c r="CM14" s="344"/>
      <c r="CN14" s="344"/>
      <c r="CO14" s="344"/>
      <c r="CP14" s="344"/>
      <c r="CQ14" s="344"/>
      <c r="CR14" s="344"/>
      <c r="CS14" s="344"/>
      <c r="CT14" s="344"/>
      <c r="CU14" s="344"/>
      <c r="CV14" s="344"/>
      <c r="CW14" s="344"/>
      <c r="CX14" s="344"/>
      <c r="CY14" s="344"/>
      <c r="CZ14" s="344"/>
      <c r="DA14" s="344"/>
      <c r="DB14" s="344"/>
      <c r="DC14" s="344"/>
      <c r="DD14" s="344"/>
    </row>
    <row r="15" spans="1:160" ht="12.75" customHeight="1" x14ac:dyDescent="0.25">
      <c r="A15" s="275" t="str">
        <f>CONCATENATE("ОТ ",DF8," ",DF9," ",DF10," Г.")</f>
        <v>ОТ 23 МАРТА 2021 Г.</v>
      </c>
      <c r="B15" s="276"/>
      <c r="C15" s="276"/>
      <c r="D15" s="276"/>
      <c r="E15" s="276"/>
      <c r="F15" s="276"/>
      <c r="G15" s="276"/>
      <c r="H15" s="276"/>
      <c r="I15" s="276"/>
      <c r="J15" s="276"/>
      <c r="K15" s="276"/>
      <c r="L15" s="276"/>
      <c r="M15" s="276"/>
      <c r="N15" s="276"/>
      <c r="O15" s="276"/>
      <c r="P15" s="276"/>
      <c r="Q15" s="276"/>
      <c r="R15" s="276"/>
      <c r="S15" s="276"/>
      <c r="T15" s="276"/>
      <c r="U15" s="276"/>
      <c r="V15" s="276"/>
      <c r="W15" s="276"/>
      <c r="X15" s="276"/>
      <c r="Y15" s="276"/>
      <c r="Z15" s="276"/>
      <c r="AA15" s="276"/>
      <c r="AB15" s="276"/>
      <c r="AC15" s="276"/>
      <c r="AD15" s="276"/>
      <c r="AE15" s="276"/>
      <c r="AF15" s="276"/>
      <c r="AG15" s="276"/>
      <c r="AH15" s="276"/>
      <c r="AI15" s="276"/>
      <c r="AJ15" s="276"/>
      <c r="AK15" s="276"/>
      <c r="AL15" s="276"/>
      <c r="AM15" s="276"/>
      <c r="AN15" s="276"/>
      <c r="AO15" s="276"/>
      <c r="AP15" s="276"/>
      <c r="AQ15" s="276"/>
      <c r="AR15" s="276"/>
      <c r="AS15" s="276"/>
      <c r="AT15" s="276"/>
      <c r="AU15" s="276"/>
      <c r="AV15" s="276"/>
      <c r="AW15" s="276"/>
      <c r="AX15" s="276"/>
      <c r="AY15" s="276"/>
      <c r="AZ15" s="276"/>
      <c r="BA15" s="276"/>
      <c r="BB15" s="276"/>
      <c r="BC15" s="276"/>
      <c r="BD15" s="276"/>
      <c r="BE15" s="276"/>
      <c r="BF15" s="276"/>
      <c r="BG15" s="276"/>
      <c r="BH15" s="276"/>
      <c r="BI15" s="276"/>
      <c r="BJ15" s="276"/>
      <c r="BK15" s="276"/>
      <c r="BL15" s="276"/>
      <c r="BM15" s="276"/>
      <c r="BN15" s="276"/>
      <c r="BO15" s="276"/>
      <c r="BP15" s="276"/>
      <c r="BQ15" s="276"/>
      <c r="BR15" s="276"/>
      <c r="BS15" s="276"/>
      <c r="BT15" s="276"/>
      <c r="BU15" s="276"/>
      <c r="BV15" s="276"/>
      <c r="BW15" s="276"/>
      <c r="BX15" s="276"/>
      <c r="BY15" s="276"/>
      <c r="BZ15" s="276"/>
      <c r="CA15" s="276"/>
      <c r="CB15" s="276"/>
      <c r="CC15" s="276"/>
      <c r="CD15" s="276"/>
      <c r="CE15" s="276"/>
      <c r="CF15" s="276"/>
      <c r="CG15" s="276"/>
      <c r="CH15" s="276"/>
      <c r="CI15" s="276"/>
      <c r="CJ15" s="276"/>
      <c r="CK15" s="276"/>
      <c r="CL15" s="276"/>
      <c r="CM15" s="276"/>
      <c r="CN15" s="276"/>
      <c r="CO15" s="276"/>
      <c r="CP15" s="276"/>
      <c r="CQ15" s="276"/>
      <c r="CR15" s="276"/>
      <c r="CS15" s="276"/>
      <c r="CT15" s="276"/>
      <c r="CU15" s="276"/>
      <c r="CV15" s="276"/>
      <c r="CW15" s="276"/>
      <c r="CX15" s="276"/>
      <c r="CY15" s="276"/>
      <c r="CZ15" s="276"/>
      <c r="DA15" s="276"/>
      <c r="DB15" s="276"/>
      <c r="DC15" s="276"/>
      <c r="DD15" s="276"/>
    </row>
    <row r="16" spans="1:160" ht="12.75" customHeight="1" x14ac:dyDescent="0.25">
      <c r="A16" s="197"/>
      <c r="B16" s="197"/>
      <c r="C16" s="197"/>
      <c r="D16" s="197"/>
      <c r="E16" s="197"/>
      <c r="F16" s="197"/>
      <c r="G16" s="197"/>
      <c r="H16" s="197"/>
      <c r="I16" s="197"/>
      <c r="J16" s="197"/>
      <c r="K16" s="197"/>
      <c r="L16" s="197"/>
      <c r="M16" s="197"/>
      <c r="N16" s="197"/>
      <c r="O16" s="197"/>
      <c r="P16" s="197"/>
      <c r="Q16" s="197"/>
      <c r="R16" s="197"/>
      <c r="S16" s="197"/>
      <c r="T16" s="197"/>
      <c r="U16" s="197"/>
      <c r="V16" s="197"/>
      <c r="W16" s="197"/>
      <c r="X16" s="197"/>
      <c r="Y16" s="197"/>
      <c r="Z16" s="197"/>
      <c r="AA16" s="197"/>
      <c r="AB16" s="197"/>
      <c r="AC16" s="197"/>
      <c r="AD16" s="197"/>
      <c r="AE16" s="197"/>
      <c r="AF16" s="197"/>
      <c r="AG16" s="197"/>
      <c r="AH16" s="197"/>
      <c r="AI16" s="197"/>
      <c r="AJ16" s="197"/>
      <c r="AK16" s="197"/>
      <c r="AL16" s="197"/>
      <c r="AM16" s="197"/>
      <c r="AN16" s="197"/>
      <c r="AO16" s="197"/>
      <c r="AP16" s="197"/>
      <c r="AQ16" s="197"/>
      <c r="AR16" s="197"/>
      <c r="AS16" s="197"/>
      <c r="AT16" s="197"/>
      <c r="AU16" s="197"/>
      <c r="AV16" s="197"/>
      <c r="AW16" s="197"/>
      <c r="AX16" s="197"/>
      <c r="AY16" s="197"/>
      <c r="AZ16" s="197"/>
      <c r="BA16" s="197"/>
      <c r="BB16" s="197"/>
      <c r="BC16" s="197"/>
      <c r="BD16" s="197"/>
      <c r="BE16" s="197"/>
      <c r="BF16" s="197"/>
      <c r="BG16" s="197"/>
      <c r="BH16" s="197"/>
      <c r="BI16" s="197"/>
      <c r="BJ16" s="197"/>
      <c r="BK16" s="197"/>
      <c r="BL16" s="197"/>
      <c r="BM16" s="197"/>
      <c r="BN16" s="197"/>
      <c r="BO16" s="197"/>
      <c r="BP16" s="197"/>
      <c r="BQ16" s="197"/>
      <c r="BR16" s="197"/>
      <c r="BS16" s="197"/>
      <c r="BT16" s="197"/>
      <c r="BU16" s="197"/>
      <c r="BV16" s="197"/>
      <c r="BW16" s="197"/>
      <c r="BX16" s="197"/>
      <c r="BY16" s="9"/>
      <c r="BZ16" s="9"/>
      <c r="CA16" s="197"/>
      <c r="CB16" s="197"/>
      <c r="CC16" s="197"/>
      <c r="CD16" s="10"/>
      <c r="CE16" s="10"/>
      <c r="CF16" s="10"/>
      <c r="CG16" s="10"/>
      <c r="CH16" s="10"/>
      <c r="CI16" s="10"/>
      <c r="CJ16" s="10"/>
      <c r="CK16" s="10"/>
      <c r="CL16" s="10"/>
      <c r="CM16" s="198"/>
      <c r="CN16" s="10"/>
      <c r="CO16" s="272" t="s">
        <v>4</v>
      </c>
      <c r="CP16" s="272"/>
      <c r="CQ16" s="272"/>
      <c r="CR16" s="272"/>
      <c r="CS16" s="272"/>
      <c r="CT16" s="272"/>
      <c r="CU16" s="272"/>
      <c r="CV16" s="272"/>
      <c r="CW16" s="272"/>
      <c r="CX16" s="272"/>
      <c r="CY16" s="272"/>
      <c r="CZ16" s="272"/>
      <c r="DA16" s="272"/>
      <c r="DB16" s="272"/>
      <c r="DC16" s="272"/>
      <c r="DD16" s="272"/>
      <c r="DE16" s="336"/>
      <c r="DF16" s="337"/>
    </row>
    <row r="17" spans="1:112" ht="41.25" customHeight="1" x14ac:dyDescent="0.25">
      <c r="A17" s="306" t="s">
        <v>657</v>
      </c>
      <c r="B17" s="307"/>
      <c r="C17" s="307"/>
      <c r="D17" s="307"/>
      <c r="E17" s="307"/>
      <c r="F17" s="307"/>
      <c r="G17" s="307"/>
      <c r="H17" s="307"/>
      <c r="I17" s="307"/>
      <c r="J17" s="307"/>
      <c r="K17" s="307"/>
      <c r="L17" s="307"/>
      <c r="M17" s="307"/>
      <c r="N17" s="307"/>
      <c r="O17" s="307"/>
      <c r="P17" s="309" t="str">
        <f>INDEX(УЧРЕЖДЕНИЯ!E3:E12,MATCH((INDEX(УЧРЕЖДЕНИЯ!A14:A53,MATCH(ТИТУЛ!CO20,УЧРЕЖДЕНИЯ!C14:C53,0))),УЧРЕЖДЕНИЯ!A3:A12,0))</f>
        <v>Администрация городского округа город Шахунья Нижегородской области</v>
      </c>
      <c r="Q17" s="310"/>
      <c r="R17" s="310"/>
      <c r="S17" s="310"/>
      <c r="T17" s="310"/>
      <c r="U17" s="310"/>
      <c r="V17" s="310"/>
      <c r="W17" s="310"/>
      <c r="X17" s="310"/>
      <c r="Y17" s="310"/>
      <c r="Z17" s="310"/>
      <c r="AA17" s="310"/>
      <c r="AB17" s="310"/>
      <c r="AC17" s="310"/>
      <c r="AD17" s="310"/>
      <c r="AE17" s="310"/>
      <c r="AF17" s="310"/>
      <c r="AG17" s="310"/>
      <c r="AH17" s="310"/>
      <c r="AI17" s="310"/>
      <c r="AJ17" s="310"/>
      <c r="AK17" s="310"/>
      <c r="AL17" s="310"/>
      <c r="AM17" s="310"/>
      <c r="AN17" s="310"/>
      <c r="AO17" s="310"/>
      <c r="AP17" s="310"/>
      <c r="AQ17" s="310"/>
      <c r="AR17" s="310"/>
      <c r="AS17" s="310"/>
      <c r="AT17" s="310"/>
      <c r="AU17" s="310"/>
      <c r="AV17" s="310"/>
      <c r="AW17" s="310"/>
      <c r="AX17" s="310"/>
      <c r="AY17" s="310"/>
      <c r="AZ17" s="310"/>
      <c r="BA17" s="310"/>
      <c r="BB17" s="310"/>
      <c r="BC17" s="310"/>
      <c r="BD17" s="310"/>
      <c r="BE17" s="310"/>
      <c r="BF17" s="310"/>
      <c r="BG17" s="310"/>
      <c r="BH17" s="310"/>
      <c r="BI17" s="310"/>
      <c r="BJ17" s="310"/>
      <c r="BK17" s="310"/>
      <c r="BL17" s="310"/>
      <c r="BM17" s="310"/>
      <c r="BN17" s="310"/>
      <c r="BO17" s="310"/>
      <c r="BP17" s="310"/>
      <c r="BQ17" s="310"/>
      <c r="BR17" s="310"/>
      <c r="BS17" s="310"/>
      <c r="BT17" s="310"/>
      <c r="BU17" s="310"/>
      <c r="BV17" s="310"/>
      <c r="BW17" s="310"/>
      <c r="BX17" s="310"/>
      <c r="BY17" s="310"/>
      <c r="BZ17" s="310"/>
      <c r="CA17" s="310"/>
      <c r="CB17" s="304" t="s">
        <v>653</v>
      </c>
      <c r="CC17" s="305"/>
      <c r="CD17" s="305"/>
      <c r="CE17" s="305"/>
      <c r="CF17" s="305"/>
      <c r="CG17" s="305"/>
      <c r="CH17" s="305"/>
      <c r="CI17" s="305"/>
      <c r="CJ17" s="305"/>
      <c r="CK17" s="305"/>
      <c r="CL17" s="305"/>
      <c r="CM17" s="305"/>
      <c r="CN17" s="287"/>
      <c r="CO17" s="258">
        <f>INDEX(УЧРЕЖДЕНИЯ!D3:D12,MATCH((INDEX(УЧРЕЖДЕНИЯ!A14:A53,MATCH(ТИТУЛ!CO20,УЧРЕЖДЕНИЯ!C14:C53,0))),УЧРЕЖДЕНИЯ!A3:A12,0))</f>
        <v>22320044</v>
      </c>
      <c r="CP17" s="259"/>
      <c r="CQ17" s="259"/>
      <c r="CR17" s="259"/>
      <c r="CS17" s="259"/>
      <c r="CT17" s="259"/>
      <c r="CU17" s="259"/>
      <c r="CV17" s="259"/>
      <c r="CW17" s="259"/>
      <c r="CX17" s="259"/>
      <c r="CY17" s="259"/>
      <c r="CZ17" s="259"/>
      <c r="DA17" s="259"/>
      <c r="DB17" s="259"/>
      <c r="DC17" s="259"/>
      <c r="DD17" s="260"/>
      <c r="DE17" s="190"/>
      <c r="DF17" s="190"/>
    </row>
    <row r="18" spans="1:112" ht="14.4" x14ac:dyDescent="0.25">
      <c r="A18" s="308"/>
      <c r="B18" s="308"/>
      <c r="C18" s="308"/>
      <c r="D18" s="308"/>
      <c r="E18" s="308"/>
      <c r="F18" s="308"/>
      <c r="G18" s="308"/>
      <c r="H18" s="308"/>
      <c r="I18" s="308"/>
      <c r="J18" s="308"/>
      <c r="K18" s="308"/>
      <c r="L18" s="308"/>
      <c r="M18" s="308"/>
      <c r="N18" s="308"/>
      <c r="O18" s="308"/>
      <c r="P18" s="311"/>
      <c r="Q18" s="311"/>
      <c r="R18" s="311"/>
      <c r="S18" s="311"/>
      <c r="T18" s="311"/>
      <c r="U18" s="311"/>
      <c r="V18" s="311"/>
      <c r="W18" s="311"/>
      <c r="X18" s="311"/>
      <c r="Y18" s="311"/>
      <c r="Z18" s="311"/>
      <c r="AA18" s="311"/>
      <c r="AB18" s="311"/>
      <c r="AC18" s="311"/>
      <c r="AD18" s="311"/>
      <c r="AE18" s="311"/>
      <c r="AF18" s="311"/>
      <c r="AG18" s="311"/>
      <c r="AH18" s="311"/>
      <c r="AI18" s="311"/>
      <c r="AJ18" s="311"/>
      <c r="AK18" s="311"/>
      <c r="AL18" s="311"/>
      <c r="AM18" s="311"/>
      <c r="AN18" s="311"/>
      <c r="AO18" s="311"/>
      <c r="AP18" s="311"/>
      <c r="AQ18" s="311"/>
      <c r="AR18" s="311"/>
      <c r="AS18" s="311"/>
      <c r="AT18" s="311"/>
      <c r="AU18" s="311"/>
      <c r="AV18" s="311"/>
      <c r="AW18" s="311"/>
      <c r="AX18" s="311"/>
      <c r="AY18" s="311"/>
      <c r="AZ18" s="311"/>
      <c r="BA18" s="311"/>
      <c r="BB18" s="311"/>
      <c r="BC18" s="311"/>
      <c r="BD18" s="311"/>
      <c r="BE18" s="311"/>
      <c r="BF18" s="311"/>
      <c r="BG18" s="311"/>
      <c r="BH18" s="311"/>
      <c r="BI18" s="311"/>
      <c r="BJ18" s="311"/>
      <c r="BK18" s="311"/>
      <c r="BL18" s="311"/>
      <c r="BM18" s="311"/>
      <c r="BN18" s="311"/>
      <c r="BO18" s="311"/>
      <c r="BP18" s="311"/>
      <c r="BQ18" s="311"/>
      <c r="BR18" s="311"/>
      <c r="BS18" s="311"/>
      <c r="BT18" s="311"/>
      <c r="BU18" s="311"/>
      <c r="BV18" s="311"/>
      <c r="BW18" s="311"/>
      <c r="BX18" s="311"/>
      <c r="BY18" s="311"/>
      <c r="BZ18" s="311"/>
      <c r="CA18" s="311"/>
      <c r="CB18" s="297" t="s">
        <v>1</v>
      </c>
      <c r="CC18" s="298"/>
      <c r="CD18" s="298"/>
      <c r="CE18" s="298"/>
      <c r="CF18" s="298"/>
      <c r="CG18" s="298"/>
      <c r="CH18" s="298"/>
      <c r="CI18" s="298"/>
      <c r="CJ18" s="298"/>
      <c r="CK18" s="298"/>
      <c r="CL18" s="298"/>
      <c r="CM18" s="298"/>
      <c r="CN18" s="299"/>
      <c r="CO18" s="303" t="str">
        <f>INDEX(УЧРЕЖДЕНИЯ!C3:C12,MATCH((INDEX(УЧРЕЖДЕНИЯ!A14:A53,MATCH(ТИТУЛ!CO20,УЧРЕЖДЕНИЯ!C14:C53,0))),УЧРЕЖДЕНИЯ!A3:A12,0))</f>
        <v>487</v>
      </c>
      <c r="CP18" s="278"/>
      <c r="CQ18" s="278"/>
      <c r="CR18" s="278"/>
      <c r="CS18" s="278"/>
      <c r="CT18" s="278"/>
      <c r="CU18" s="278"/>
      <c r="CV18" s="278"/>
      <c r="CW18" s="278"/>
      <c r="CX18" s="278"/>
      <c r="CY18" s="278"/>
      <c r="CZ18" s="278"/>
      <c r="DA18" s="278"/>
      <c r="DB18" s="278"/>
      <c r="DC18" s="278"/>
      <c r="DD18" s="279"/>
      <c r="DE18" s="191"/>
      <c r="DF18" s="191"/>
    </row>
    <row r="19" spans="1:112" ht="41.25" customHeight="1" x14ac:dyDescent="0.25">
      <c r="A19" s="293" t="s">
        <v>652</v>
      </c>
      <c r="B19" s="294"/>
      <c r="C19" s="294"/>
      <c r="D19" s="294"/>
      <c r="E19" s="294"/>
      <c r="F19" s="294"/>
      <c r="G19" s="294"/>
      <c r="H19" s="294"/>
      <c r="I19" s="294"/>
      <c r="J19" s="294"/>
      <c r="K19" s="294"/>
      <c r="L19" s="294"/>
      <c r="M19" s="294"/>
      <c r="N19" s="294"/>
      <c r="O19" s="294"/>
      <c r="P19" s="295" t="str">
        <f>INDEX(УЧРЕЖДЕНИЯ!F14:F53,MATCH(ТИТУЛ!DE7,УЧРЕЖДЕНИЯ!E14:E53,0))</f>
        <v>Муниципальное автономное учреждение "Физкультурно-оздоровительный комплекс "Атлант" в г.Шахунья"</v>
      </c>
      <c r="Q19" s="296"/>
      <c r="R19" s="296"/>
      <c r="S19" s="296"/>
      <c r="T19" s="296"/>
      <c r="U19" s="296"/>
      <c r="V19" s="296"/>
      <c r="W19" s="296"/>
      <c r="X19" s="296"/>
      <c r="Y19" s="296"/>
      <c r="Z19" s="296"/>
      <c r="AA19" s="296"/>
      <c r="AB19" s="296"/>
      <c r="AC19" s="296"/>
      <c r="AD19" s="296"/>
      <c r="AE19" s="296"/>
      <c r="AF19" s="296"/>
      <c r="AG19" s="296"/>
      <c r="AH19" s="296"/>
      <c r="AI19" s="296"/>
      <c r="AJ19" s="296"/>
      <c r="AK19" s="296"/>
      <c r="AL19" s="296"/>
      <c r="AM19" s="296"/>
      <c r="AN19" s="296"/>
      <c r="AO19" s="296"/>
      <c r="AP19" s="296"/>
      <c r="AQ19" s="296"/>
      <c r="AR19" s="296"/>
      <c r="AS19" s="296"/>
      <c r="AT19" s="296"/>
      <c r="AU19" s="296"/>
      <c r="AV19" s="296"/>
      <c r="AW19" s="296"/>
      <c r="AX19" s="296"/>
      <c r="AY19" s="296"/>
      <c r="AZ19" s="296"/>
      <c r="BA19" s="296"/>
      <c r="BB19" s="296"/>
      <c r="BC19" s="296"/>
      <c r="BD19" s="296"/>
      <c r="BE19" s="296"/>
      <c r="BF19" s="296"/>
      <c r="BG19" s="296"/>
      <c r="BH19" s="296"/>
      <c r="BI19" s="296"/>
      <c r="BJ19" s="296"/>
      <c r="BK19" s="296"/>
      <c r="BL19" s="296"/>
      <c r="BM19" s="296"/>
      <c r="BN19" s="296"/>
      <c r="BO19" s="296"/>
      <c r="BP19" s="296"/>
      <c r="BQ19" s="296"/>
      <c r="BR19" s="296"/>
      <c r="BS19" s="296"/>
      <c r="BT19" s="296"/>
      <c r="BU19" s="296"/>
      <c r="BV19" s="296"/>
      <c r="BW19" s="296"/>
      <c r="BX19" s="296"/>
      <c r="BY19" s="296"/>
      <c r="BZ19" s="296"/>
      <c r="CA19" s="296"/>
      <c r="CB19" s="304" t="s">
        <v>653</v>
      </c>
      <c r="CC19" s="305"/>
      <c r="CD19" s="305"/>
      <c r="CE19" s="305"/>
      <c r="CF19" s="305"/>
      <c r="CG19" s="305"/>
      <c r="CH19" s="305"/>
      <c r="CI19" s="305"/>
      <c r="CJ19" s="305"/>
      <c r="CK19" s="305"/>
      <c r="CL19" s="305"/>
      <c r="CM19" s="305"/>
      <c r="CN19" s="305"/>
      <c r="CO19" s="258">
        <f>INDEX(УЧРЕЖДЕНИЯ!B14:B54,MATCH(ТИТУЛ!CO20,УЧРЕЖДЕНИЯ!C14:C54,0))</f>
        <v>22320477</v>
      </c>
      <c r="CP19" s="259"/>
      <c r="CQ19" s="259"/>
      <c r="CR19" s="259"/>
      <c r="CS19" s="259"/>
      <c r="CT19" s="259"/>
      <c r="CU19" s="259"/>
      <c r="CV19" s="259"/>
      <c r="CW19" s="259"/>
      <c r="CX19" s="259"/>
      <c r="CY19" s="259"/>
      <c r="CZ19" s="259"/>
      <c r="DA19" s="259"/>
      <c r="DB19" s="259"/>
      <c r="DC19" s="259"/>
      <c r="DD19" s="260"/>
      <c r="DE19" s="338"/>
      <c r="DF19" s="339"/>
    </row>
    <row r="20" spans="1:112" ht="13.8" x14ac:dyDescent="0.25">
      <c r="A20" s="294"/>
      <c r="B20" s="294"/>
      <c r="C20" s="294"/>
      <c r="D20" s="294"/>
      <c r="E20" s="294"/>
      <c r="F20" s="294"/>
      <c r="G20" s="294"/>
      <c r="H20" s="294"/>
      <c r="I20" s="294"/>
      <c r="J20" s="294"/>
      <c r="K20" s="294"/>
      <c r="L20" s="294"/>
      <c r="M20" s="294"/>
      <c r="N20" s="294"/>
      <c r="O20" s="294"/>
      <c r="P20" s="296"/>
      <c r="Q20" s="296"/>
      <c r="R20" s="296"/>
      <c r="S20" s="296"/>
      <c r="T20" s="296"/>
      <c r="U20" s="296"/>
      <c r="V20" s="296"/>
      <c r="W20" s="296"/>
      <c r="X20" s="296"/>
      <c r="Y20" s="296"/>
      <c r="Z20" s="296"/>
      <c r="AA20" s="296"/>
      <c r="AB20" s="296"/>
      <c r="AC20" s="296"/>
      <c r="AD20" s="296"/>
      <c r="AE20" s="296"/>
      <c r="AF20" s="296"/>
      <c r="AG20" s="296"/>
      <c r="AH20" s="296"/>
      <c r="AI20" s="296"/>
      <c r="AJ20" s="296"/>
      <c r="AK20" s="296"/>
      <c r="AL20" s="296"/>
      <c r="AM20" s="296"/>
      <c r="AN20" s="296"/>
      <c r="AO20" s="296"/>
      <c r="AP20" s="296"/>
      <c r="AQ20" s="296"/>
      <c r="AR20" s="296"/>
      <c r="AS20" s="296"/>
      <c r="AT20" s="296"/>
      <c r="AU20" s="296"/>
      <c r="AV20" s="296"/>
      <c r="AW20" s="296"/>
      <c r="AX20" s="296"/>
      <c r="AY20" s="296"/>
      <c r="AZ20" s="296"/>
      <c r="BA20" s="296"/>
      <c r="BB20" s="296"/>
      <c r="BC20" s="296"/>
      <c r="BD20" s="296"/>
      <c r="BE20" s="296"/>
      <c r="BF20" s="296"/>
      <c r="BG20" s="296"/>
      <c r="BH20" s="296"/>
      <c r="BI20" s="296"/>
      <c r="BJ20" s="296"/>
      <c r="BK20" s="296"/>
      <c r="BL20" s="296"/>
      <c r="BM20" s="296"/>
      <c r="BN20" s="296"/>
      <c r="BO20" s="296"/>
      <c r="BP20" s="296"/>
      <c r="BQ20" s="296"/>
      <c r="BR20" s="296"/>
      <c r="BS20" s="296"/>
      <c r="BT20" s="296"/>
      <c r="BU20" s="296"/>
      <c r="BV20" s="296"/>
      <c r="BW20" s="296"/>
      <c r="BX20" s="296"/>
      <c r="BY20" s="296"/>
      <c r="BZ20" s="296"/>
      <c r="CA20" s="296"/>
      <c r="CB20" s="285" t="s">
        <v>5</v>
      </c>
      <c r="CC20" s="286"/>
      <c r="CD20" s="286"/>
      <c r="CE20" s="286"/>
      <c r="CF20" s="286"/>
      <c r="CG20" s="286"/>
      <c r="CH20" s="286"/>
      <c r="CI20" s="286"/>
      <c r="CJ20" s="286"/>
      <c r="CK20" s="286"/>
      <c r="CL20" s="286"/>
      <c r="CM20" s="286"/>
      <c r="CN20" s="287"/>
      <c r="CO20" s="269">
        <f>INDEX(УЧРЕЖДЕНИЯ!C14:C53,MATCH(ТИТУЛ!DE7,УЧРЕЖДЕНИЯ!E14:E53,0))</f>
        <v>5239009749</v>
      </c>
      <c r="CP20" s="270"/>
      <c r="CQ20" s="270"/>
      <c r="CR20" s="270"/>
      <c r="CS20" s="270"/>
      <c r="CT20" s="270"/>
      <c r="CU20" s="270"/>
      <c r="CV20" s="270"/>
      <c r="CW20" s="270"/>
      <c r="CX20" s="270"/>
      <c r="CY20" s="270"/>
      <c r="CZ20" s="270"/>
      <c r="DA20" s="270"/>
      <c r="DB20" s="270"/>
      <c r="DC20" s="270"/>
      <c r="DD20" s="271"/>
      <c r="DE20" s="2" t="s">
        <v>659</v>
      </c>
    </row>
    <row r="21" spans="1:112" ht="14.4" x14ac:dyDescent="0.25">
      <c r="A21" s="294"/>
      <c r="B21" s="294"/>
      <c r="C21" s="294"/>
      <c r="D21" s="294"/>
      <c r="E21" s="294"/>
      <c r="F21" s="294"/>
      <c r="G21" s="294"/>
      <c r="H21" s="294"/>
      <c r="I21" s="294"/>
      <c r="J21" s="294"/>
      <c r="K21" s="294"/>
      <c r="L21" s="294"/>
      <c r="M21" s="294"/>
      <c r="N21" s="294"/>
      <c r="O21" s="294"/>
      <c r="P21" s="296"/>
      <c r="Q21" s="296"/>
      <c r="R21" s="296"/>
      <c r="S21" s="296"/>
      <c r="T21" s="296"/>
      <c r="U21" s="296"/>
      <c r="V21" s="296"/>
      <c r="W21" s="296"/>
      <c r="X21" s="296"/>
      <c r="Y21" s="296"/>
      <c r="Z21" s="296"/>
      <c r="AA21" s="296"/>
      <c r="AB21" s="296"/>
      <c r="AC21" s="296"/>
      <c r="AD21" s="296"/>
      <c r="AE21" s="296"/>
      <c r="AF21" s="296"/>
      <c r="AG21" s="296"/>
      <c r="AH21" s="296"/>
      <c r="AI21" s="296"/>
      <c r="AJ21" s="296"/>
      <c r="AK21" s="296"/>
      <c r="AL21" s="296"/>
      <c r="AM21" s="296"/>
      <c r="AN21" s="296"/>
      <c r="AO21" s="296"/>
      <c r="AP21" s="296"/>
      <c r="AQ21" s="296"/>
      <c r="AR21" s="296"/>
      <c r="AS21" s="296"/>
      <c r="AT21" s="296"/>
      <c r="AU21" s="296"/>
      <c r="AV21" s="296"/>
      <c r="AW21" s="296"/>
      <c r="AX21" s="296"/>
      <c r="AY21" s="296"/>
      <c r="AZ21" s="296"/>
      <c r="BA21" s="296"/>
      <c r="BB21" s="296"/>
      <c r="BC21" s="296"/>
      <c r="BD21" s="296"/>
      <c r="BE21" s="296"/>
      <c r="BF21" s="296"/>
      <c r="BG21" s="296"/>
      <c r="BH21" s="296"/>
      <c r="BI21" s="296"/>
      <c r="BJ21" s="296"/>
      <c r="BK21" s="296"/>
      <c r="BL21" s="296"/>
      <c r="BM21" s="296"/>
      <c r="BN21" s="296"/>
      <c r="BO21" s="296"/>
      <c r="BP21" s="296"/>
      <c r="BQ21" s="296"/>
      <c r="BR21" s="296"/>
      <c r="BS21" s="296"/>
      <c r="BT21" s="296"/>
      <c r="BU21" s="296"/>
      <c r="BV21" s="296"/>
      <c r="BW21" s="296"/>
      <c r="BX21" s="296"/>
      <c r="BY21" s="296"/>
      <c r="BZ21" s="296"/>
      <c r="CA21" s="296"/>
      <c r="CB21" s="285" t="s">
        <v>6</v>
      </c>
      <c r="CC21" s="286"/>
      <c r="CD21" s="286"/>
      <c r="CE21" s="286"/>
      <c r="CF21" s="286"/>
      <c r="CG21" s="286"/>
      <c r="CH21" s="286"/>
      <c r="CI21" s="286"/>
      <c r="CJ21" s="286"/>
      <c r="CK21" s="286"/>
      <c r="CL21" s="286"/>
      <c r="CM21" s="286"/>
      <c r="CN21" s="287"/>
      <c r="CO21" s="277">
        <v>523901001</v>
      </c>
      <c r="CP21" s="278"/>
      <c r="CQ21" s="278"/>
      <c r="CR21" s="278"/>
      <c r="CS21" s="278"/>
      <c r="CT21" s="278"/>
      <c r="CU21" s="278"/>
      <c r="CV21" s="278"/>
      <c r="CW21" s="278"/>
      <c r="CX21" s="278"/>
      <c r="CY21" s="278"/>
      <c r="CZ21" s="278"/>
      <c r="DA21" s="278"/>
      <c r="DB21" s="278"/>
      <c r="DC21" s="278"/>
      <c r="DD21" s="279"/>
      <c r="DE21" s="11" t="s">
        <v>660</v>
      </c>
      <c r="DF21" s="2">
        <v>0</v>
      </c>
    </row>
    <row r="22" spans="1:112" ht="12.75" customHeight="1" x14ac:dyDescent="0.25">
      <c r="A22" s="291" t="s">
        <v>656</v>
      </c>
      <c r="B22" s="292"/>
      <c r="C22" s="292"/>
      <c r="D22" s="292"/>
      <c r="E22" s="292"/>
      <c r="F22" s="292"/>
      <c r="G22" s="292"/>
      <c r="H22" s="292"/>
      <c r="I22" s="292"/>
      <c r="J22" s="292"/>
      <c r="K22" s="292"/>
      <c r="L22" s="292"/>
      <c r="M22" s="292"/>
      <c r="N22" s="292"/>
      <c r="O22" s="292"/>
      <c r="P22" s="292"/>
      <c r="Q22" s="292"/>
      <c r="R22" s="282" t="str">
        <f>DF11</f>
        <v>уточненный</v>
      </c>
      <c r="S22" s="283"/>
      <c r="T22" s="283"/>
      <c r="U22" s="283"/>
      <c r="V22" s="283"/>
      <c r="W22" s="283"/>
      <c r="X22" s="283"/>
      <c r="Y22" s="283"/>
      <c r="Z22" s="283"/>
      <c r="AA22" s="283"/>
      <c r="AB22" s="283"/>
      <c r="AC22" s="283"/>
      <c r="AD22" s="283"/>
      <c r="AE22" s="283"/>
      <c r="AF22" s="283"/>
      <c r="AG22" s="283"/>
      <c r="AH22" s="283"/>
      <c r="AI22" s="283"/>
      <c r="AJ22" s="283"/>
      <c r="AK22" s="283"/>
      <c r="AL22" s="283"/>
      <c r="AM22" s="283"/>
      <c r="AN22" s="283"/>
      <c r="AO22" s="283"/>
      <c r="AP22" s="283"/>
      <c r="AQ22" s="283"/>
      <c r="AR22" s="283"/>
      <c r="AS22" s="283"/>
      <c r="AT22" s="283"/>
      <c r="AU22" s="283"/>
      <c r="AV22" s="283"/>
      <c r="AW22" s="283"/>
      <c r="AX22" s="283"/>
      <c r="AY22" s="283"/>
      <c r="AZ22" s="283"/>
      <c r="BA22" s="283"/>
      <c r="BB22" s="283"/>
      <c r="BC22" s="283"/>
      <c r="BD22" s="283"/>
      <c r="BE22" s="283"/>
      <c r="BF22" s="283"/>
      <c r="BG22" s="283"/>
      <c r="BH22" s="283"/>
      <c r="BI22" s="283"/>
      <c r="BJ22" s="283"/>
      <c r="BK22" s="283"/>
      <c r="BL22" s="283"/>
      <c r="BM22" s="283"/>
      <c r="BN22" s="283"/>
      <c r="BO22" s="283"/>
      <c r="BP22" s="283"/>
      <c r="BQ22" s="284"/>
      <c r="BR22" s="284"/>
      <c r="BS22" s="284"/>
      <c r="BT22" s="284"/>
      <c r="BU22" s="284"/>
      <c r="BV22" s="280" t="str">
        <f>IF(AND(R22="первичный",CO22&lt;&gt;"",CO22&lt;1),"",IF(AND(R22="уточненный",CO22&gt;0),"","НЕ ВЕРНО"))</f>
        <v/>
      </c>
      <c r="BW22" s="280"/>
      <c r="BX22" s="280"/>
      <c r="BY22" s="280"/>
      <c r="BZ22" s="280"/>
      <c r="CA22" s="280"/>
      <c r="CB22" s="280"/>
      <c r="CC22" s="280"/>
      <c r="CD22" s="280"/>
      <c r="CE22" s="280"/>
      <c r="CF22" s="280"/>
      <c r="CG22" s="280"/>
      <c r="CH22" s="280"/>
      <c r="CI22" s="280"/>
      <c r="CJ22" s="280"/>
      <c r="CK22" s="280"/>
      <c r="CL22" s="280"/>
      <c r="CM22" s="280"/>
      <c r="CN22" s="281"/>
      <c r="CO22" s="288">
        <f>DF12</f>
        <v>3</v>
      </c>
      <c r="CP22" s="289"/>
      <c r="CQ22" s="289"/>
      <c r="CR22" s="289"/>
      <c r="CS22" s="289"/>
      <c r="CT22" s="289"/>
      <c r="CU22" s="289"/>
      <c r="CV22" s="289"/>
      <c r="CW22" s="289"/>
      <c r="CX22" s="289"/>
      <c r="CY22" s="289"/>
      <c r="CZ22" s="289"/>
      <c r="DA22" s="289"/>
      <c r="DB22" s="289"/>
      <c r="DC22" s="289"/>
      <c r="DD22" s="290"/>
      <c r="DE22" s="11" t="s">
        <v>660</v>
      </c>
      <c r="DF22" s="2">
        <f>DF21+1</f>
        <v>1</v>
      </c>
      <c r="DH22" s="98"/>
    </row>
    <row r="23" spans="1:112" s="11" customFormat="1" ht="12.75" customHeight="1" x14ac:dyDescent="0.25">
      <c r="A23" s="267" t="s">
        <v>8</v>
      </c>
      <c r="B23" s="268"/>
      <c r="C23" s="268"/>
      <c r="D23" s="268"/>
      <c r="E23" s="268"/>
      <c r="F23" s="268"/>
      <c r="G23" s="268"/>
      <c r="H23" s="268"/>
      <c r="I23" s="268"/>
      <c r="J23" s="268"/>
      <c r="K23" s="268"/>
      <c r="L23" s="268"/>
      <c r="M23" s="268"/>
      <c r="N23" s="268"/>
      <c r="O23" s="268"/>
      <c r="P23" s="268"/>
      <c r="Q23" s="268"/>
      <c r="R23" s="268"/>
      <c r="S23" s="268"/>
      <c r="T23" s="268"/>
      <c r="U23" s="268"/>
      <c r="V23" s="268"/>
      <c r="W23" s="268"/>
      <c r="X23" s="268"/>
      <c r="Y23" s="268"/>
      <c r="Z23" s="268"/>
      <c r="AA23" s="268"/>
      <c r="AB23" s="268"/>
      <c r="AC23" s="268"/>
      <c r="AD23" s="268"/>
      <c r="AE23" s="268"/>
      <c r="AF23" s="268"/>
      <c r="AG23" s="268"/>
      <c r="AH23" s="268"/>
      <c r="AI23" s="268"/>
      <c r="AJ23" s="268"/>
      <c r="AK23" s="268"/>
      <c r="AL23" s="268"/>
      <c r="AM23" s="268"/>
      <c r="AN23" s="268"/>
      <c r="AO23" s="268"/>
      <c r="AP23" s="268"/>
      <c r="AQ23" s="268"/>
      <c r="AR23" s="268"/>
      <c r="AS23" s="268"/>
      <c r="AT23" s="268"/>
      <c r="AU23" s="268"/>
      <c r="AV23" s="268"/>
      <c r="AW23" s="268"/>
      <c r="AX23" s="268"/>
      <c r="AY23" s="268"/>
      <c r="AZ23" s="268"/>
      <c r="BA23" s="268"/>
      <c r="BB23" s="268"/>
      <c r="BC23" s="268"/>
      <c r="BD23" s="268"/>
      <c r="BE23" s="268"/>
      <c r="BF23" s="268"/>
      <c r="BG23" s="268"/>
      <c r="BH23" s="268"/>
      <c r="BI23" s="268"/>
      <c r="BJ23" s="268"/>
      <c r="BK23" s="268"/>
      <c r="BL23" s="268"/>
      <c r="BM23" s="268"/>
      <c r="BN23" s="268"/>
      <c r="BO23" s="268"/>
      <c r="BP23" s="268"/>
      <c r="BQ23" s="268"/>
      <c r="BR23" s="268"/>
      <c r="BS23" s="268"/>
      <c r="BT23" s="268"/>
      <c r="BU23" s="268"/>
      <c r="BV23" s="268"/>
      <c r="BW23" s="268"/>
      <c r="BX23" s="268"/>
      <c r="BY23" s="268"/>
      <c r="BZ23" s="268"/>
      <c r="CA23" s="268"/>
      <c r="CB23" s="265" t="s">
        <v>2</v>
      </c>
      <c r="CC23" s="265"/>
      <c r="CD23" s="265"/>
      <c r="CE23" s="265"/>
      <c r="CF23" s="265"/>
      <c r="CG23" s="265"/>
      <c r="CH23" s="265"/>
      <c r="CI23" s="265"/>
      <c r="CJ23" s="265"/>
      <c r="CK23" s="265"/>
      <c r="CL23" s="265"/>
      <c r="CM23" s="265"/>
      <c r="CN23" s="266"/>
      <c r="CO23" s="258" t="s">
        <v>9</v>
      </c>
      <c r="CP23" s="259"/>
      <c r="CQ23" s="259"/>
      <c r="CR23" s="259"/>
      <c r="CS23" s="259"/>
      <c r="CT23" s="259"/>
      <c r="CU23" s="259"/>
      <c r="CV23" s="259"/>
      <c r="CW23" s="259"/>
      <c r="CX23" s="259"/>
      <c r="CY23" s="259"/>
      <c r="CZ23" s="259"/>
      <c r="DA23" s="259"/>
      <c r="DB23" s="259"/>
      <c r="DC23" s="259"/>
      <c r="DD23" s="260"/>
      <c r="DE23" s="11" t="s">
        <v>660</v>
      </c>
      <c r="DF23" s="2">
        <f t="shared" ref="DF23:DF54" si="0">DF22+1</f>
        <v>2</v>
      </c>
    </row>
    <row r="24" spans="1:112" x14ac:dyDescent="0.25">
      <c r="A24" s="262" t="s">
        <v>658</v>
      </c>
      <c r="B24" s="262"/>
      <c r="C24" s="262"/>
      <c r="D24" s="262"/>
      <c r="E24" s="262"/>
      <c r="F24" s="262"/>
      <c r="G24" s="262"/>
      <c r="H24" s="262"/>
      <c r="I24" s="262"/>
      <c r="J24" s="262"/>
      <c r="K24" s="262"/>
      <c r="L24" s="262"/>
      <c r="M24" s="262"/>
      <c r="N24" s="262"/>
      <c r="O24" s="262"/>
      <c r="P24" s="262"/>
      <c r="Q24" s="262"/>
      <c r="R24" s="262"/>
      <c r="S24" s="262"/>
      <c r="T24" s="262"/>
      <c r="U24" s="262"/>
      <c r="V24" s="262"/>
      <c r="W24" s="262"/>
      <c r="X24" s="262"/>
      <c r="Y24" s="262"/>
      <c r="Z24" s="262"/>
      <c r="AA24" s="262"/>
      <c r="AB24" s="262"/>
      <c r="AC24" s="262"/>
      <c r="AD24" s="262"/>
      <c r="AE24" s="262"/>
      <c r="AF24" s="262"/>
      <c r="AG24" s="262"/>
      <c r="AH24" s="262"/>
      <c r="AI24" s="262"/>
      <c r="AJ24" s="262"/>
      <c r="AK24" s="262"/>
      <c r="AL24" s="262"/>
      <c r="AM24" s="262"/>
      <c r="AN24" s="262"/>
      <c r="AO24" s="261" t="str">
        <f>INDEX(УЧРЕЖДЕНИЯ!H14:H53,MATCH(ТИТУЛ!CO20,УЧРЕЖДЕНИЯ!C14:C53,0))</f>
        <v>606912,Нижегородская область,г.Шахунья,ул.Чапаева,д.2А</v>
      </c>
      <c r="AP24" s="261"/>
      <c r="AQ24" s="261"/>
      <c r="AR24" s="261"/>
      <c r="AS24" s="261"/>
      <c r="AT24" s="261"/>
      <c r="AU24" s="261"/>
      <c r="AV24" s="261"/>
      <c r="AW24" s="261"/>
      <c r="AX24" s="261"/>
      <c r="AY24" s="261"/>
      <c r="AZ24" s="261"/>
      <c r="BA24" s="261"/>
      <c r="BB24" s="261"/>
      <c r="BC24" s="261"/>
      <c r="BD24" s="261"/>
      <c r="BE24" s="261"/>
      <c r="BF24" s="261"/>
      <c r="BG24" s="261"/>
      <c r="BH24" s="261"/>
      <c r="BI24" s="261"/>
      <c r="BJ24" s="261"/>
      <c r="BK24" s="261"/>
      <c r="BL24" s="261"/>
      <c r="BM24" s="261"/>
      <c r="BN24" s="261"/>
      <c r="BO24" s="261"/>
      <c r="BP24" s="261"/>
      <c r="BQ24" s="261"/>
      <c r="BR24" s="261"/>
      <c r="BS24" s="261"/>
      <c r="BT24" s="261"/>
      <c r="BU24" s="261"/>
      <c r="BV24" s="261"/>
      <c r="BW24" s="261"/>
      <c r="BX24" s="261"/>
      <c r="BY24" s="261"/>
      <c r="BZ24" s="261"/>
      <c r="CA24" s="261"/>
      <c r="CB24" s="261"/>
      <c r="CC24" s="261"/>
      <c r="CD24" s="261"/>
      <c r="CE24" s="261"/>
      <c r="CF24" s="261"/>
      <c r="CG24" s="261"/>
      <c r="CH24" s="261"/>
      <c r="CI24" s="261"/>
      <c r="CJ24" s="261"/>
      <c r="CK24" s="261"/>
      <c r="CL24" s="261"/>
      <c r="CM24" s="261"/>
      <c r="CN24" s="261"/>
      <c r="CO24" s="261"/>
      <c r="CP24" s="261"/>
      <c r="CQ24" s="261"/>
      <c r="CR24" s="261"/>
      <c r="CS24" s="261"/>
      <c r="CT24" s="261"/>
      <c r="CU24" s="261"/>
      <c r="CV24" s="261"/>
      <c r="CW24" s="261"/>
      <c r="CX24" s="261"/>
      <c r="CY24" s="261"/>
      <c r="CZ24" s="261"/>
      <c r="DA24" s="261"/>
      <c r="DB24" s="261"/>
      <c r="DC24" s="261"/>
      <c r="DD24" s="261"/>
      <c r="DE24" s="11" t="s">
        <v>660</v>
      </c>
      <c r="DF24" s="2">
        <f t="shared" si="0"/>
        <v>3</v>
      </c>
    </row>
    <row r="25" spans="1:112" ht="12.75" customHeight="1" x14ac:dyDescent="0.25">
      <c r="A25" s="263"/>
      <c r="B25" s="263"/>
      <c r="C25" s="263"/>
      <c r="D25" s="263"/>
      <c r="E25" s="263"/>
      <c r="F25" s="263"/>
      <c r="G25" s="263"/>
      <c r="H25" s="263"/>
      <c r="I25" s="263"/>
      <c r="J25" s="263"/>
      <c r="K25" s="263"/>
      <c r="L25" s="263"/>
      <c r="M25" s="263"/>
      <c r="N25" s="263"/>
      <c r="O25" s="263"/>
      <c r="P25" s="263"/>
      <c r="Q25" s="263"/>
      <c r="R25" s="263"/>
      <c r="S25" s="263"/>
      <c r="T25" s="263"/>
      <c r="U25" s="263"/>
      <c r="V25" s="263"/>
      <c r="W25" s="263"/>
      <c r="X25" s="263"/>
      <c r="Y25" s="263"/>
      <c r="Z25" s="263"/>
      <c r="AA25" s="263"/>
      <c r="AB25" s="263"/>
      <c r="AC25" s="263"/>
      <c r="AD25" s="263"/>
      <c r="AE25" s="263"/>
      <c r="AF25" s="263"/>
      <c r="AG25" s="263"/>
      <c r="AH25" s="263"/>
      <c r="AI25" s="263"/>
      <c r="AJ25" s="263"/>
      <c r="AK25" s="263"/>
      <c r="AL25" s="263"/>
      <c r="AM25" s="263"/>
      <c r="AN25" s="263"/>
      <c r="AO25" s="264"/>
      <c r="AP25" s="264"/>
      <c r="AQ25" s="264"/>
      <c r="AR25" s="264"/>
      <c r="AS25" s="264"/>
      <c r="AT25" s="264"/>
      <c r="AU25" s="264"/>
      <c r="AV25" s="264"/>
      <c r="AW25" s="264"/>
      <c r="AX25" s="264"/>
      <c r="AY25" s="264"/>
      <c r="AZ25" s="264"/>
      <c r="BA25" s="264"/>
      <c r="BB25" s="264"/>
      <c r="BC25" s="264"/>
      <c r="BD25" s="264"/>
      <c r="BE25" s="264"/>
      <c r="BF25" s="264"/>
      <c r="BG25" s="264"/>
      <c r="BH25" s="264"/>
      <c r="BI25" s="264"/>
      <c r="BJ25" s="264"/>
      <c r="BK25" s="264"/>
      <c r="BL25" s="264"/>
      <c r="BM25" s="264"/>
      <c r="BN25" s="264"/>
      <c r="BO25" s="264"/>
      <c r="BP25" s="264"/>
      <c r="BQ25" s="264"/>
      <c r="BR25" s="264"/>
      <c r="BS25" s="264"/>
      <c r="BT25" s="264"/>
      <c r="BU25" s="264"/>
      <c r="BV25" s="264"/>
      <c r="BW25" s="264"/>
      <c r="BX25" s="264"/>
      <c r="BY25" s="264"/>
      <c r="BZ25" s="264"/>
      <c r="CA25" s="264"/>
      <c r="CB25" s="264"/>
      <c r="CC25" s="264"/>
      <c r="CD25" s="264"/>
      <c r="CE25" s="264"/>
      <c r="CF25" s="264"/>
      <c r="CG25" s="264"/>
      <c r="CH25" s="264"/>
      <c r="CI25" s="264"/>
      <c r="CJ25" s="264"/>
      <c r="CK25" s="264"/>
      <c r="CL25" s="264"/>
      <c r="CM25" s="264"/>
      <c r="CN25" s="264"/>
      <c r="CO25" s="264"/>
      <c r="CP25" s="264"/>
      <c r="CQ25" s="264"/>
      <c r="CR25" s="264"/>
      <c r="CS25" s="264"/>
      <c r="CT25" s="264"/>
      <c r="CU25" s="264"/>
      <c r="CV25" s="264"/>
      <c r="CW25" s="264"/>
      <c r="CX25" s="264"/>
      <c r="CY25" s="264"/>
      <c r="CZ25" s="264"/>
      <c r="DA25" s="264"/>
      <c r="DB25" s="264"/>
      <c r="DC25" s="264"/>
      <c r="DD25" s="264"/>
      <c r="DE25" s="11" t="s">
        <v>660</v>
      </c>
      <c r="DF25" s="2">
        <f t="shared" si="0"/>
        <v>4</v>
      </c>
    </row>
    <row r="26" spans="1:112" ht="16.5" customHeight="1" x14ac:dyDescent="0.35">
      <c r="A26" s="492" t="str">
        <f>IF(AND(A27="",A28="",A29="",A30="",A31="",A32="",A33="",A34="",A35="",A36="",A37="",A38="",A39="",A40="",A41="",A42="",A43="",A44="",A45="",A46="",A47="",A48="",A49="",A50="",A51="",A52=""),"НЕ ЗАПОЛНЕНО","Причины изменений:")</f>
        <v>Причины изменений:</v>
      </c>
      <c r="B26" s="493"/>
      <c r="C26" s="493"/>
      <c r="D26" s="493"/>
      <c r="E26" s="493"/>
      <c r="F26" s="493"/>
      <c r="G26" s="493"/>
      <c r="H26" s="493"/>
      <c r="I26" s="493"/>
      <c r="J26" s="493"/>
      <c r="K26" s="493"/>
      <c r="L26" s="493"/>
      <c r="M26" s="493"/>
      <c r="N26" s="493"/>
      <c r="O26" s="493"/>
      <c r="P26" s="493"/>
      <c r="Q26" s="493"/>
      <c r="R26" s="493"/>
      <c r="S26" s="493"/>
      <c r="T26" s="493"/>
      <c r="U26" s="493"/>
      <c r="V26" s="493"/>
      <c r="W26" s="493"/>
      <c r="X26" s="493"/>
      <c r="Y26" s="493"/>
      <c r="Z26" s="493"/>
      <c r="AA26" s="493"/>
      <c r="AB26" s="493"/>
      <c r="AC26" s="493"/>
      <c r="AD26" s="493"/>
      <c r="AE26" s="493"/>
      <c r="AF26" s="493"/>
      <c r="AG26" s="493"/>
      <c r="AH26" s="493"/>
      <c r="AI26" s="493"/>
      <c r="AJ26" s="493"/>
      <c r="AK26" s="493"/>
      <c r="AL26" s="493"/>
      <c r="AM26" s="493"/>
      <c r="AN26" s="493"/>
      <c r="AO26" s="493"/>
      <c r="AP26" s="493"/>
      <c r="AQ26" s="493"/>
      <c r="AR26" s="493"/>
      <c r="AS26" s="493"/>
      <c r="AT26" s="493"/>
      <c r="AU26" s="493"/>
      <c r="AV26" s="493"/>
      <c r="AW26" s="493"/>
      <c r="AX26" s="493"/>
      <c r="AY26" s="493"/>
      <c r="AZ26" s="493"/>
      <c r="BA26" s="493"/>
      <c r="BB26" s="493"/>
      <c r="BC26" s="493"/>
      <c r="BD26" s="493"/>
      <c r="BE26" s="493"/>
      <c r="BF26" s="493"/>
      <c r="BG26" s="493"/>
      <c r="BH26" s="493"/>
      <c r="BI26" s="493"/>
      <c r="BJ26" s="493"/>
      <c r="BK26" s="493"/>
      <c r="BL26" s="493"/>
      <c r="BM26" s="493"/>
      <c r="BN26" s="493"/>
      <c r="BO26" s="493"/>
      <c r="BP26" s="493"/>
      <c r="BQ26" s="493"/>
      <c r="BR26" s="493"/>
      <c r="BS26" s="493"/>
      <c r="BT26" s="493"/>
      <c r="BU26" s="493"/>
      <c r="BV26" s="493"/>
      <c r="BW26" s="493"/>
      <c r="BX26" s="493"/>
      <c r="BY26" s="493"/>
      <c r="BZ26" s="493"/>
      <c r="CA26" s="493"/>
      <c r="CB26" s="493"/>
      <c r="CC26" s="493"/>
      <c r="CD26" s="493"/>
      <c r="CE26" s="493"/>
      <c r="CF26" s="493"/>
      <c r="CG26" s="493"/>
      <c r="CH26" s="493"/>
      <c r="CI26" s="493"/>
      <c r="CJ26" s="493"/>
      <c r="CK26" s="493"/>
      <c r="CL26" s="493"/>
      <c r="CM26" s="493"/>
      <c r="CN26" s="493"/>
      <c r="CO26" s="493"/>
      <c r="CP26" s="493"/>
      <c r="CQ26" s="493"/>
      <c r="CR26" s="493"/>
      <c r="CS26" s="493"/>
      <c r="CT26" s="493"/>
      <c r="CU26" s="493"/>
      <c r="CV26" s="493"/>
      <c r="CW26" s="493"/>
      <c r="CX26" s="493"/>
      <c r="CY26" s="493"/>
      <c r="CZ26" s="493"/>
      <c r="DA26" s="493"/>
      <c r="DB26" s="493"/>
      <c r="DC26" s="493"/>
      <c r="DD26" s="493"/>
      <c r="DE26" s="11" t="s">
        <v>660</v>
      </c>
      <c r="DF26" s="2">
        <f t="shared" si="0"/>
        <v>5</v>
      </c>
    </row>
    <row r="27" spans="1:112" s="12" customFormat="1" x14ac:dyDescent="0.25">
      <c r="A27" s="491" t="s">
        <v>859</v>
      </c>
      <c r="B27" s="491"/>
      <c r="C27" s="491"/>
      <c r="D27" s="491"/>
      <c r="E27" s="491"/>
      <c r="F27" s="491"/>
      <c r="G27" s="491"/>
      <c r="H27" s="491"/>
      <c r="I27" s="491"/>
      <c r="J27" s="491"/>
      <c r="K27" s="491"/>
      <c r="L27" s="491"/>
      <c r="M27" s="491"/>
      <c r="N27" s="491"/>
      <c r="O27" s="491"/>
      <c r="P27" s="491"/>
      <c r="Q27" s="491"/>
      <c r="R27" s="491"/>
      <c r="S27" s="491"/>
      <c r="T27" s="491"/>
      <c r="U27" s="491"/>
      <c r="V27" s="491"/>
      <c r="W27" s="491"/>
      <c r="X27" s="491"/>
      <c r="Y27" s="491"/>
      <c r="Z27" s="491"/>
      <c r="AA27" s="491"/>
      <c r="AB27" s="491"/>
      <c r="AC27" s="491"/>
      <c r="AD27" s="491"/>
      <c r="AE27" s="491"/>
      <c r="AF27" s="491"/>
      <c r="AG27" s="491"/>
      <c r="AH27" s="491"/>
      <c r="AI27" s="491"/>
      <c r="AJ27" s="491"/>
      <c r="AK27" s="491"/>
      <c r="AL27" s="491"/>
      <c r="AM27" s="491"/>
      <c r="AN27" s="491"/>
      <c r="AO27" s="491"/>
      <c r="AP27" s="491"/>
      <c r="AQ27" s="491"/>
      <c r="AR27" s="491"/>
      <c r="AS27" s="491"/>
      <c r="AT27" s="491"/>
      <c r="AU27" s="491"/>
      <c r="AV27" s="491"/>
      <c r="AW27" s="491"/>
      <c r="AX27" s="491"/>
      <c r="AY27" s="491"/>
      <c r="AZ27" s="491"/>
      <c r="BA27" s="491"/>
      <c r="BB27" s="491"/>
      <c r="BC27" s="491"/>
      <c r="BD27" s="491"/>
      <c r="BE27" s="491"/>
      <c r="BF27" s="491"/>
      <c r="BG27" s="491"/>
      <c r="BH27" s="491"/>
      <c r="BI27" s="491"/>
      <c r="BJ27" s="491"/>
      <c r="BK27" s="491"/>
      <c r="BL27" s="491"/>
      <c r="BM27" s="491"/>
      <c r="BN27" s="491"/>
      <c r="BO27" s="491"/>
      <c r="BP27" s="491"/>
      <c r="BQ27" s="491"/>
      <c r="BR27" s="491"/>
      <c r="BS27" s="491"/>
      <c r="BT27" s="491"/>
      <c r="BU27" s="491"/>
      <c r="BV27" s="491"/>
      <c r="BW27" s="491"/>
      <c r="BX27" s="491"/>
      <c r="BY27" s="491"/>
      <c r="BZ27" s="491"/>
      <c r="CA27" s="491"/>
      <c r="CB27" s="491"/>
      <c r="CC27" s="491"/>
      <c r="CD27" s="491"/>
      <c r="CE27" s="491"/>
      <c r="CF27" s="491"/>
      <c r="CG27" s="491"/>
      <c r="CH27" s="491"/>
      <c r="CI27" s="491"/>
      <c r="CJ27" s="491"/>
      <c r="CK27" s="491"/>
      <c r="CL27" s="491"/>
      <c r="CM27" s="491"/>
      <c r="CN27" s="491"/>
      <c r="CO27" s="491"/>
      <c r="CP27" s="491"/>
      <c r="CQ27" s="491"/>
      <c r="CR27" s="491"/>
      <c r="CS27" s="491"/>
      <c r="CT27" s="491"/>
      <c r="CU27" s="491"/>
      <c r="CV27" s="491"/>
      <c r="CW27" s="491"/>
      <c r="CX27" s="491"/>
      <c r="CY27" s="491"/>
      <c r="CZ27" s="491"/>
      <c r="DA27" s="491"/>
      <c r="DB27" s="491"/>
      <c r="DC27" s="491"/>
      <c r="DD27" s="491"/>
      <c r="DE27" s="11" t="s">
        <v>660</v>
      </c>
      <c r="DF27" s="2">
        <f t="shared" si="0"/>
        <v>6</v>
      </c>
    </row>
    <row r="28" spans="1:112" s="12" customFormat="1" ht="13.8" x14ac:dyDescent="0.3">
      <c r="A28" s="256" t="s">
        <v>860</v>
      </c>
      <c r="B28" s="257"/>
      <c r="C28" s="257"/>
      <c r="D28" s="257"/>
      <c r="E28" s="257"/>
      <c r="F28" s="257"/>
      <c r="G28" s="257"/>
      <c r="H28" s="257"/>
      <c r="I28" s="257"/>
      <c r="J28" s="257"/>
      <c r="K28" s="257"/>
      <c r="L28" s="257"/>
      <c r="M28" s="257"/>
      <c r="N28" s="257"/>
      <c r="O28" s="257"/>
      <c r="P28" s="257"/>
      <c r="Q28" s="257"/>
      <c r="R28" s="257"/>
      <c r="S28" s="257"/>
      <c r="T28" s="257"/>
      <c r="U28" s="257"/>
      <c r="V28" s="257"/>
      <c r="W28" s="257"/>
      <c r="X28" s="257"/>
      <c r="Y28" s="257"/>
      <c r="Z28" s="257"/>
      <c r="AA28" s="257"/>
      <c r="AB28" s="257"/>
      <c r="AC28" s="257"/>
      <c r="AD28" s="257"/>
      <c r="AE28" s="257"/>
      <c r="AF28" s="257"/>
      <c r="AG28" s="257"/>
      <c r="AH28" s="257"/>
      <c r="AI28" s="257"/>
      <c r="AJ28" s="257"/>
      <c r="AK28" s="257"/>
      <c r="AL28" s="257"/>
      <c r="AM28" s="257"/>
      <c r="AN28" s="257"/>
      <c r="AO28" s="257"/>
      <c r="AP28" s="257"/>
      <c r="AQ28" s="257"/>
      <c r="AR28" s="257"/>
      <c r="AS28" s="257"/>
      <c r="AT28" s="257"/>
      <c r="AU28" s="257"/>
      <c r="AV28" s="257"/>
      <c r="AW28" s="257"/>
      <c r="AX28" s="257"/>
      <c r="AY28" s="257"/>
      <c r="AZ28" s="257"/>
      <c r="BA28" s="257"/>
      <c r="BB28" s="257"/>
      <c r="BC28" s="257"/>
      <c r="BD28" s="257"/>
      <c r="BE28" s="257"/>
      <c r="BF28" s="257"/>
      <c r="BG28" s="257"/>
      <c r="BH28" s="257"/>
      <c r="BI28" s="257"/>
      <c r="BJ28" s="257"/>
      <c r="BK28" s="257"/>
      <c r="BL28" s="257"/>
      <c r="BM28" s="257"/>
      <c r="BN28" s="257"/>
      <c r="BO28" s="257"/>
      <c r="BP28" s="257"/>
      <c r="BQ28" s="257"/>
      <c r="BR28" s="257"/>
      <c r="BS28" s="257"/>
      <c r="BT28" s="257"/>
      <c r="BU28" s="257"/>
      <c r="BV28" s="257"/>
      <c r="BW28" s="257"/>
      <c r="BX28" s="257"/>
      <c r="BY28" s="257"/>
      <c r="BZ28" s="257"/>
      <c r="CA28" s="257"/>
      <c r="CB28" s="257"/>
      <c r="CC28" s="257"/>
      <c r="CD28" s="257"/>
      <c r="CE28" s="257"/>
      <c r="CF28" s="257"/>
      <c r="CG28" s="257"/>
      <c r="CH28" s="257"/>
      <c r="CI28" s="257"/>
      <c r="CJ28" s="257"/>
      <c r="CK28" s="257"/>
      <c r="CL28" s="257"/>
      <c r="CM28" s="257"/>
      <c r="CN28" s="257"/>
      <c r="CO28" s="257"/>
      <c r="CP28" s="257"/>
      <c r="CQ28" s="257"/>
      <c r="CR28" s="257"/>
      <c r="CS28" s="257"/>
      <c r="CT28" s="257"/>
      <c r="CU28" s="257"/>
      <c r="CV28" s="257"/>
      <c r="CW28" s="257"/>
      <c r="CX28" s="257"/>
      <c r="CY28" s="257"/>
      <c r="CZ28" s="257"/>
      <c r="DA28" s="257"/>
      <c r="DB28" s="257"/>
      <c r="DC28" s="257"/>
      <c r="DD28" s="257"/>
      <c r="DE28" s="11" t="s">
        <v>660</v>
      </c>
      <c r="DF28" s="2">
        <f t="shared" si="0"/>
        <v>7</v>
      </c>
    </row>
    <row r="29" spans="1:112" s="12" customFormat="1" ht="13.5" customHeight="1" x14ac:dyDescent="0.3">
      <c r="A29" s="256" t="s">
        <v>862</v>
      </c>
      <c r="B29" s="257"/>
      <c r="C29" s="257"/>
      <c r="D29" s="257"/>
      <c r="E29" s="257"/>
      <c r="F29" s="257"/>
      <c r="G29" s="257"/>
      <c r="H29" s="257"/>
      <c r="I29" s="257"/>
      <c r="J29" s="257"/>
      <c r="K29" s="257"/>
      <c r="L29" s="257"/>
      <c r="M29" s="257"/>
      <c r="N29" s="257"/>
      <c r="O29" s="257"/>
      <c r="P29" s="257"/>
      <c r="Q29" s="257"/>
      <c r="R29" s="257"/>
      <c r="S29" s="257"/>
      <c r="T29" s="257"/>
      <c r="U29" s="257"/>
      <c r="V29" s="257"/>
      <c r="W29" s="257"/>
      <c r="X29" s="257"/>
      <c r="Y29" s="257"/>
      <c r="Z29" s="257"/>
      <c r="AA29" s="257"/>
      <c r="AB29" s="257"/>
      <c r="AC29" s="257"/>
      <c r="AD29" s="257"/>
      <c r="AE29" s="257"/>
      <c r="AF29" s="257"/>
      <c r="AG29" s="257"/>
      <c r="AH29" s="257"/>
      <c r="AI29" s="257"/>
      <c r="AJ29" s="257"/>
      <c r="AK29" s="257"/>
      <c r="AL29" s="257"/>
      <c r="AM29" s="257"/>
      <c r="AN29" s="257"/>
      <c r="AO29" s="257"/>
      <c r="AP29" s="257"/>
      <c r="AQ29" s="257"/>
      <c r="AR29" s="257"/>
      <c r="AS29" s="257"/>
      <c r="AT29" s="257"/>
      <c r="AU29" s="257"/>
      <c r="AV29" s="257"/>
      <c r="AW29" s="257"/>
      <c r="AX29" s="257"/>
      <c r="AY29" s="257"/>
      <c r="AZ29" s="257"/>
      <c r="BA29" s="257"/>
      <c r="BB29" s="257"/>
      <c r="BC29" s="257"/>
      <c r="BD29" s="257"/>
      <c r="BE29" s="257"/>
      <c r="BF29" s="257"/>
      <c r="BG29" s="257"/>
      <c r="BH29" s="257"/>
      <c r="BI29" s="257"/>
      <c r="BJ29" s="257"/>
      <c r="BK29" s="257"/>
      <c r="BL29" s="257"/>
      <c r="BM29" s="257"/>
      <c r="BN29" s="257"/>
      <c r="BO29" s="257"/>
      <c r="BP29" s="257"/>
      <c r="BQ29" s="257"/>
      <c r="BR29" s="257"/>
      <c r="BS29" s="257"/>
      <c r="BT29" s="257"/>
      <c r="BU29" s="257"/>
      <c r="BV29" s="257"/>
      <c r="BW29" s="257"/>
      <c r="BX29" s="257"/>
      <c r="BY29" s="257"/>
      <c r="BZ29" s="257"/>
      <c r="CA29" s="257"/>
      <c r="CB29" s="257"/>
      <c r="CC29" s="257"/>
      <c r="CD29" s="257"/>
      <c r="CE29" s="257"/>
      <c r="CF29" s="257"/>
      <c r="CG29" s="257"/>
      <c r="CH29" s="257"/>
      <c r="CI29" s="257"/>
      <c r="CJ29" s="257"/>
      <c r="CK29" s="257"/>
      <c r="CL29" s="257"/>
      <c r="CM29" s="257"/>
      <c r="CN29" s="257"/>
      <c r="CO29" s="257"/>
      <c r="CP29" s="257"/>
      <c r="CQ29" s="257"/>
      <c r="CR29" s="257"/>
      <c r="CS29" s="257"/>
      <c r="CT29" s="257"/>
      <c r="CU29" s="257"/>
      <c r="CV29" s="257"/>
      <c r="CW29" s="257"/>
      <c r="CX29" s="257"/>
      <c r="CY29" s="257"/>
      <c r="CZ29" s="257"/>
      <c r="DA29" s="257"/>
      <c r="DB29" s="257"/>
      <c r="DC29" s="257"/>
      <c r="DD29" s="257"/>
      <c r="DE29" s="11" t="s">
        <v>660</v>
      </c>
      <c r="DF29" s="2">
        <f t="shared" si="0"/>
        <v>8</v>
      </c>
    </row>
    <row r="30" spans="1:112" s="12" customFormat="1" ht="13.5" customHeight="1" x14ac:dyDescent="0.3">
      <c r="A30" s="256" t="s">
        <v>861</v>
      </c>
      <c r="B30" s="257"/>
      <c r="C30" s="257"/>
      <c r="D30" s="257"/>
      <c r="E30" s="257"/>
      <c r="F30" s="257"/>
      <c r="G30" s="257"/>
      <c r="H30" s="257"/>
      <c r="I30" s="257"/>
      <c r="J30" s="257"/>
      <c r="K30" s="257"/>
      <c r="L30" s="257"/>
      <c r="M30" s="257"/>
      <c r="N30" s="257"/>
      <c r="O30" s="257"/>
      <c r="P30" s="257"/>
      <c r="Q30" s="257"/>
      <c r="R30" s="257"/>
      <c r="S30" s="257"/>
      <c r="T30" s="257"/>
      <c r="U30" s="257"/>
      <c r="V30" s="257"/>
      <c r="W30" s="257"/>
      <c r="X30" s="257"/>
      <c r="Y30" s="257"/>
      <c r="Z30" s="257"/>
      <c r="AA30" s="257"/>
      <c r="AB30" s="257"/>
      <c r="AC30" s="257"/>
      <c r="AD30" s="257"/>
      <c r="AE30" s="257"/>
      <c r="AF30" s="257"/>
      <c r="AG30" s="257"/>
      <c r="AH30" s="257"/>
      <c r="AI30" s="257"/>
      <c r="AJ30" s="257"/>
      <c r="AK30" s="257"/>
      <c r="AL30" s="257"/>
      <c r="AM30" s="257"/>
      <c r="AN30" s="257"/>
      <c r="AO30" s="257"/>
      <c r="AP30" s="257"/>
      <c r="AQ30" s="257"/>
      <c r="AR30" s="257"/>
      <c r="AS30" s="257"/>
      <c r="AT30" s="257"/>
      <c r="AU30" s="257"/>
      <c r="AV30" s="257"/>
      <c r="AW30" s="257"/>
      <c r="AX30" s="257"/>
      <c r="AY30" s="257"/>
      <c r="AZ30" s="257"/>
      <c r="BA30" s="257"/>
      <c r="BB30" s="257"/>
      <c r="BC30" s="257"/>
      <c r="BD30" s="257"/>
      <c r="BE30" s="257"/>
      <c r="BF30" s="257"/>
      <c r="BG30" s="257"/>
      <c r="BH30" s="257"/>
      <c r="BI30" s="257"/>
      <c r="BJ30" s="257"/>
      <c r="BK30" s="257"/>
      <c r="BL30" s="257"/>
      <c r="BM30" s="257"/>
      <c r="BN30" s="257"/>
      <c r="BO30" s="257"/>
      <c r="BP30" s="257"/>
      <c r="BQ30" s="257"/>
      <c r="BR30" s="257"/>
      <c r="BS30" s="257"/>
      <c r="BT30" s="257"/>
      <c r="BU30" s="257"/>
      <c r="BV30" s="257"/>
      <c r="BW30" s="257"/>
      <c r="BX30" s="257"/>
      <c r="BY30" s="257"/>
      <c r="BZ30" s="257"/>
      <c r="CA30" s="257"/>
      <c r="CB30" s="257"/>
      <c r="CC30" s="257"/>
      <c r="CD30" s="257"/>
      <c r="CE30" s="257"/>
      <c r="CF30" s="257"/>
      <c r="CG30" s="257"/>
      <c r="CH30" s="257"/>
      <c r="CI30" s="257"/>
      <c r="CJ30" s="257"/>
      <c r="CK30" s="257"/>
      <c r="CL30" s="257"/>
      <c r="CM30" s="257"/>
      <c r="CN30" s="257"/>
      <c r="CO30" s="257"/>
      <c r="CP30" s="257"/>
      <c r="CQ30" s="257"/>
      <c r="CR30" s="257"/>
      <c r="CS30" s="257"/>
      <c r="CT30" s="257"/>
      <c r="CU30" s="257"/>
      <c r="CV30" s="257"/>
      <c r="CW30" s="257"/>
      <c r="CX30" s="257"/>
      <c r="CY30" s="257"/>
      <c r="CZ30" s="257"/>
      <c r="DA30" s="257"/>
      <c r="DB30" s="257"/>
      <c r="DC30" s="257"/>
      <c r="DD30" s="257"/>
      <c r="DE30" s="11" t="s">
        <v>660</v>
      </c>
      <c r="DF30" s="2">
        <f t="shared" si="0"/>
        <v>9</v>
      </c>
    </row>
    <row r="31" spans="1:112" s="12" customFormat="1" ht="13.5" customHeight="1" x14ac:dyDescent="0.3">
      <c r="A31" s="256"/>
      <c r="B31" s="257"/>
      <c r="C31" s="257"/>
      <c r="D31" s="257"/>
      <c r="E31" s="257"/>
      <c r="F31" s="257"/>
      <c r="G31" s="257"/>
      <c r="H31" s="257"/>
      <c r="I31" s="257"/>
      <c r="J31" s="257"/>
      <c r="K31" s="257"/>
      <c r="L31" s="257"/>
      <c r="M31" s="257"/>
      <c r="N31" s="257"/>
      <c r="O31" s="257"/>
      <c r="P31" s="257"/>
      <c r="Q31" s="257"/>
      <c r="R31" s="257"/>
      <c r="S31" s="257"/>
      <c r="T31" s="257"/>
      <c r="U31" s="257"/>
      <c r="V31" s="257"/>
      <c r="W31" s="257"/>
      <c r="X31" s="257"/>
      <c r="Y31" s="257"/>
      <c r="Z31" s="257"/>
      <c r="AA31" s="257"/>
      <c r="AB31" s="257"/>
      <c r="AC31" s="257"/>
      <c r="AD31" s="257"/>
      <c r="AE31" s="257"/>
      <c r="AF31" s="257"/>
      <c r="AG31" s="257"/>
      <c r="AH31" s="257"/>
      <c r="AI31" s="257"/>
      <c r="AJ31" s="257"/>
      <c r="AK31" s="257"/>
      <c r="AL31" s="257"/>
      <c r="AM31" s="257"/>
      <c r="AN31" s="257"/>
      <c r="AO31" s="257"/>
      <c r="AP31" s="257"/>
      <c r="AQ31" s="257"/>
      <c r="AR31" s="257"/>
      <c r="AS31" s="257"/>
      <c r="AT31" s="257"/>
      <c r="AU31" s="257"/>
      <c r="AV31" s="257"/>
      <c r="AW31" s="257"/>
      <c r="AX31" s="257"/>
      <c r="AY31" s="257"/>
      <c r="AZ31" s="257"/>
      <c r="BA31" s="257"/>
      <c r="BB31" s="257"/>
      <c r="BC31" s="257"/>
      <c r="BD31" s="257"/>
      <c r="BE31" s="257"/>
      <c r="BF31" s="257"/>
      <c r="BG31" s="257"/>
      <c r="BH31" s="257"/>
      <c r="BI31" s="257"/>
      <c r="BJ31" s="257"/>
      <c r="BK31" s="257"/>
      <c r="BL31" s="257"/>
      <c r="BM31" s="257"/>
      <c r="BN31" s="257"/>
      <c r="BO31" s="257"/>
      <c r="BP31" s="257"/>
      <c r="BQ31" s="257"/>
      <c r="BR31" s="257"/>
      <c r="BS31" s="257"/>
      <c r="BT31" s="257"/>
      <c r="BU31" s="257"/>
      <c r="BV31" s="257"/>
      <c r="BW31" s="257"/>
      <c r="BX31" s="257"/>
      <c r="BY31" s="257"/>
      <c r="BZ31" s="257"/>
      <c r="CA31" s="257"/>
      <c r="CB31" s="257"/>
      <c r="CC31" s="257"/>
      <c r="CD31" s="257"/>
      <c r="CE31" s="257"/>
      <c r="CF31" s="257"/>
      <c r="CG31" s="257"/>
      <c r="CH31" s="257"/>
      <c r="CI31" s="257"/>
      <c r="CJ31" s="257"/>
      <c r="CK31" s="257"/>
      <c r="CL31" s="257"/>
      <c r="CM31" s="257"/>
      <c r="CN31" s="257"/>
      <c r="CO31" s="257"/>
      <c r="CP31" s="257"/>
      <c r="CQ31" s="257"/>
      <c r="CR31" s="257"/>
      <c r="CS31" s="257"/>
      <c r="CT31" s="257"/>
      <c r="CU31" s="257"/>
      <c r="CV31" s="257"/>
      <c r="CW31" s="257"/>
      <c r="CX31" s="257"/>
      <c r="CY31" s="257"/>
      <c r="CZ31" s="257"/>
      <c r="DA31" s="257"/>
      <c r="DB31" s="257"/>
      <c r="DC31" s="257"/>
      <c r="DD31" s="257"/>
      <c r="DE31" s="11" t="s">
        <v>660</v>
      </c>
      <c r="DF31" s="2">
        <f t="shared" si="0"/>
        <v>10</v>
      </c>
    </row>
    <row r="32" spans="1:112" s="12" customFormat="1" ht="13.5" customHeight="1" x14ac:dyDescent="0.3">
      <c r="A32" s="256"/>
      <c r="B32" s="257"/>
      <c r="C32" s="257"/>
      <c r="D32" s="257"/>
      <c r="E32" s="257"/>
      <c r="F32" s="257"/>
      <c r="G32" s="257"/>
      <c r="H32" s="257"/>
      <c r="I32" s="257"/>
      <c r="J32" s="257"/>
      <c r="K32" s="257"/>
      <c r="L32" s="257"/>
      <c r="M32" s="257"/>
      <c r="N32" s="257"/>
      <c r="O32" s="257"/>
      <c r="P32" s="257"/>
      <c r="Q32" s="257"/>
      <c r="R32" s="257"/>
      <c r="S32" s="257"/>
      <c r="T32" s="257"/>
      <c r="U32" s="257"/>
      <c r="V32" s="257"/>
      <c r="W32" s="257"/>
      <c r="X32" s="257"/>
      <c r="Y32" s="257"/>
      <c r="Z32" s="257"/>
      <c r="AA32" s="257"/>
      <c r="AB32" s="257"/>
      <c r="AC32" s="257"/>
      <c r="AD32" s="257"/>
      <c r="AE32" s="257"/>
      <c r="AF32" s="257"/>
      <c r="AG32" s="257"/>
      <c r="AH32" s="257"/>
      <c r="AI32" s="257"/>
      <c r="AJ32" s="257"/>
      <c r="AK32" s="257"/>
      <c r="AL32" s="257"/>
      <c r="AM32" s="257"/>
      <c r="AN32" s="257"/>
      <c r="AO32" s="257"/>
      <c r="AP32" s="257"/>
      <c r="AQ32" s="257"/>
      <c r="AR32" s="257"/>
      <c r="AS32" s="257"/>
      <c r="AT32" s="257"/>
      <c r="AU32" s="257"/>
      <c r="AV32" s="257"/>
      <c r="AW32" s="257"/>
      <c r="AX32" s="257"/>
      <c r="AY32" s="257"/>
      <c r="AZ32" s="257"/>
      <c r="BA32" s="257"/>
      <c r="BB32" s="257"/>
      <c r="BC32" s="257"/>
      <c r="BD32" s="257"/>
      <c r="BE32" s="257"/>
      <c r="BF32" s="257"/>
      <c r="BG32" s="257"/>
      <c r="BH32" s="257"/>
      <c r="BI32" s="257"/>
      <c r="BJ32" s="257"/>
      <c r="BK32" s="257"/>
      <c r="BL32" s="257"/>
      <c r="BM32" s="257"/>
      <c r="BN32" s="257"/>
      <c r="BO32" s="257"/>
      <c r="BP32" s="257"/>
      <c r="BQ32" s="257"/>
      <c r="BR32" s="257"/>
      <c r="BS32" s="257"/>
      <c r="BT32" s="257"/>
      <c r="BU32" s="257"/>
      <c r="BV32" s="257"/>
      <c r="BW32" s="257"/>
      <c r="BX32" s="257"/>
      <c r="BY32" s="257"/>
      <c r="BZ32" s="257"/>
      <c r="CA32" s="257"/>
      <c r="CB32" s="257"/>
      <c r="CC32" s="257"/>
      <c r="CD32" s="257"/>
      <c r="CE32" s="257"/>
      <c r="CF32" s="257"/>
      <c r="CG32" s="257"/>
      <c r="CH32" s="257"/>
      <c r="CI32" s="257"/>
      <c r="CJ32" s="257"/>
      <c r="CK32" s="257"/>
      <c r="CL32" s="257"/>
      <c r="CM32" s="257"/>
      <c r="CN32" s="257"/>
      <c r="CO32" s="257"/>
      <c r="CP32" s="257"/>
      <c r="CQ32" s="257"/>
      <c r="CR32" s="257"/>
      <c r="CS32" s="257"/>
      <c r="CT32" s="257"/>
      <c r="CU32" s="257"/>
      <c r="CV32" s="257"/>
      <c r="CW32" s="257"/>
      <c r="CX32" s="257"/>
      <c r="CY32" s="257"/>
      <c r="CZ32" s="257"/>
      <c r="DA32" s="257"/>
      <c r="DB32" s="257"/>
      <c r="DC32" s="257"/>
      <c r="DD32" s="257"/>
      <c r="DE32" s="11" t="s">
        <v>660</v>
      </c>
      <c r="DF32" s="2">
        <f t="shared" si="0"/>
        <v>11</v>
      </c>
    </row>
    <row r="33" spans="1:110" s="12" customFormat="1" ht="13.5" customHeight="1" x14ac:dyDescent="0.3">
      <c r="A33" s="256"/>
      <c r="B33" s="257"/>
      <c r="C33" s="257"/>
      <c r="D33" s="257"/>
      <c r="E33" s="257"/>
      <c r="F33" s="257"/>
      <c r="G33" s="257"/>
      <c r="H33" s="257"/>
      <c r="I33" s="257"/>
      <c r="J33" s="257"/>
      <c r="K33" s="257"/>
      <c r="L33" s="257"/>
      <c r="M33" s="257"/>
      <c r="N33" s="257"/>
      <c r="O33" s="257"/>
      <c r="P33" s="257"/>
      <c r="Q33" s="257"/>
      <c r="R33" s="257"/>
      <c r="S33" s="257"/>
      <c r="T33" s="257"/>
      <c r="U33" s="257"/>
      <c r="V33" s="257"/>
      <c r="W33" s="257"/>
      <c r="X33" s="257"/>
      <c r="Y33" s="257"/>
      <c r="Z33" s="257"/>
      <c r="AA33" s="257"/>
      <c r="AB33" s="257"/>
      <c r="AC33" s="257"/>
      <c r="AD33" s="257"/>
      <c r="AE33" s="257"/>
      <c r="AF33" s="257"/>
      <c r="AG33" s="257"/>
      <c r="AH33" s="257"/>
      <c r="AI33" s="257"/>
      <c r="AJ33" s="257"/>
      <c r="AK33" s="257"/>
      <c r="AL33" s="257"/>
      <c r="AM33" s="257"/>
      <c r="AN33" s="257"/>
      <c r="AO33" s="257"/>
      <c r="AP33" s="257"/>
      <c r="AQ33" s="257"/>
      <c r="AR33" s="257"/>
      <c r="AS33" s="257"/>
      <c r="AT33" s="257"/>
      <c r="AU33" s="257"/>
      <c r="AV33" s="257"/>
      <c r="AW33" s="257"/>
      <c r="AX33" s="257"/>
      <c r="AY33" s="257"/>
      <c r="AZ33" s="257"/>
      <c r="BA33" s="257"/>
      <c r="BB33" s="257"/>
      <c r="BC33" s="257"/>
      <c r="BD33" s="257"/>
      <c r="BE33" s="257"/>
      <c r="BF33" s="257"/>
      <c r="BG33" s="257"/>
      <c r="BH33" s="257"/>
      <c r="BI33" s="257"/>
      <c r="BJ33" s="257"/>
      <c r="BK33" s="257"/>
      <c r="BL33" s="257"/>
      <c r="BM33" s="257"/>
      <c r="BN33" s="257"/>
      <c r="BO33" s="257"/>
      <c r="BP33" s="257"/>
      <c r="BQ33" s="257"/>
      <c r="BR33" s="257"/>
      <c r="BS33" s="257"/>
      <c r="BT33" s="257"/>
      <c r="BU33" s="257"/>
      <c r="BV33" s="257"/>
      <c r="BW33" s="257"/>
      <c r="BX33" s="257"/>
      <c r="BY33" s="257"/>
      <c r="BZ33" s="257"/>
      <c r="CA33" s="257"/>
      <c r="CB33" s="257"/>
      <c r="CC33" s="257"/>
      <c r="CD33" s="257"/>
      <c r="CE33" s="257"/>
      <c r="CF33" s="257"/>
      <c r="CG33" s="257"/>
      <c r="CH33" s="257"/>
      <c r="CI33" s="257"/>
      <c r="CJ33" s="257"/>
      <c r="CK33" s="257"/>
      <c r="CL33" s="257"/>
      <c r="CM33" s="257"/>
      <c r="CN33" s="257"/>
      <c r="CO33" s="257"/>
      <c r="CP33" s="257"/>
      <c r="CQ33" s="257"/>
      <c r="CR33" s="257"/>
      <c r="CS33" s="257"/>
      <c r="CT33" s="257"/>
      <c r="CU33" s="257"/>
      <c r="CV33" s="257"/>
      <c r="CW33" s="257"/>
      <c r="CX33" s="257"/>
      <c r="CY33" s="257"/>
      <c r="CZ33" s="257"/>
      <c r="DA33" s="257"/>
      <c r="DB33" s="257"/>
      <c r="DC33" s="257"/>
      <c r="DD33" s="257"/>
      <c r="DE33" s="11" t="s">
        <v>660</v>
      </c>
      <c r="DF33" s="2">
        <f t="shared" si="0"/>
        <v>12</v>
      </c>
    </row>
    <row r="34" spans="1:110" ht="13.5" customHeight="1" x14ac:dyDescent="0.3">
      <c r="A34" s="256"/>
      <c r="B34" s="257"/>
      <c r="C34" s="257"/>
      <c r="D34" s="257"/>
      <c r="E34" s="257"/>
      <c r="F34" s="257"/>
      <c r="G34" s="257"/>
      <c r="H34" s="257"/>
      <c r="I34" s="257"/>
      <c r="J34" s="257"/>
      <c r="K34" s="257"/>
      <c r="L34" s="257"/>
      <c r="M34" s="257"/>
      <c r="N34" s="257"/>
      <c r="O34" s="257"/>
      <c r="P34" s="257"/>
      <c r="Q34" s="257"/>
      <c r="R34" s="257"/>
      <c r="S34" s="257"/>
      <c r="T34" s="257"/>
      <c r="U34" s="257"/>
      <c r="V34" s="257"/>
      <c r="W34" s="257"/>
      <c r="X34" s="257"/>
      <c r="Y34" s="257"/>
      <c r="Z34" s="257"/>
      <c r="AA34" s="257"/>
      <c r="AB34" s="257"/>
      <c r="AC34" s="257"/>
      <c r="AD34" s="257"/>
      <c r="AE34" s="257"/>
      <c r="AF34" s="257"/>
      <c r="AG34" s="257"/>
      <c r="AH34" s="257"/>
      <c r="AI34" s="257"/>
      <c r="AJ34" s="257"/>
      <c r="AK34" s="257"/>
      <c r="AL34" s="257"/>
      <c r="AM34" s="257"/>
      <c r="AN34" s="257"/>
      <c r="AO34" s="257"/>
      <c r="AP34" s="257"/>
      <c r="AQ34" s="257"/>
      <c r="AR34" s="257"/>
      <c r="AS34" s="257"/>
      <c r="AT34" s="257"/>
      <c r="AU34" s="257"/>
      <c r="AV34" s="257"/>
      <c r="AW34" s="257"/>
      <c r="AX34" s="257"/>
      <c r="AY34" s="257"/>
      <c r="AZ34" s="257"/>
      <c r="BA34" s="257"/>
      <c r="BB34" s="257"/>
      <c r="BC34" s="257"/>
      <c r="BD34" s="257"/>
      <c r="BE34" s="257"/>
      <c r="BF34" s="257"/>
      <c r="BG34" s="257"/>
      <c r="BH34" s="257"/>
      <c r="BI34" s="257"/>
      <c r="BJ34" s="257"/>
      <c r="BK34" s="257"/>
      <c r="BL34" s="257"/>
      <c r="BM34" s="257"/>
      <c r="BN34" s="257"/>
      <c r="BO34" s="257"/>
      <c r="BP34" s="257"/>
      <c r="BQ34" s="257"/>
      <c r="BR34" s="257"/>
      <c r="BS34" s="257"/>
      <c r="BT34" s="257"/>
      <c r="BU34" s="257"/>
      <c r="BV34" s="257"/>
      <c r="BW34" s="257"/>
      <c r="BX34" s="257"/>
      <c r="BY34" s="257"/>
      <c r="BZ34" s="257"/>
      <c r="CA34" s="257"/>
      <c r="CB34" s="257"/>
      <c r="CC34" s="257"/>
      <c r="CD34" s="257"/>
      <c r="CE34" s="257"/>
      <c r="CF34" s="257"/>
      <c r="CG34" s="257"/>
      <c r="CH34" s="257"/>
      <c r="CI34" s="257"/>
      <c r="CJ34" s="257"/>
      <c r="CK34" s="257"/>
      <c r="CL34" s="257"/>
      <c r="CM34" s="257"/>
      <c r="CN34" s="257"/>
      <c r="CO34" s="257"/>
      <c r="CP34" s="257"/>
      <c r="CQ34" s="257"/>
      <c r="CR34" s="257"/>
      <c r="CS34" s="257"/>
      <c r="CT34" s="257"/>
      <c r="CU34" s="257"/>
      <c r="CV34" s="257"/>
      <c r="CW34" s="257"/>
      <c r="CX34" s="257"/>
      <c r="CY34" s="257"/>
      <c r="CZ34" s="257"/>
      <c r="DA34" s="257"/>
      <c r="DB34" s="257"/>
      <c r="DC34" s="257"/>
      <c r="DD34" s="257"/>
      <c r="DE34" s="11" t="s">
        <v>660</v>
      </c>
      <c r="DF34" s="2">
        <f t="shared" si="0"/>
        <v>13</v>
      </c>
    </row>
    <row r="35" spans="1:110" ht="13.5" customHeight="1" x14ac:dyDescent="0.3">
      <c r="A35" s="256"/>
      <c r="B35" s="257"/>
      <c r="C35" s="257"/>
      <c r="D35" s="257"/>
      <c r="E35" s="257"/>
      <c r="F35" s="257"/>
      <c r="G35" s="257"/>
      <c r="H35" s="257"/>
      <c r="I35" s="257"/>
      <c r="J35" s="257"/>
      <c r="K35" s="257"/>
      <c r="L35" s="257"/>
      <c r="M35" s="257"/>
      <c r="N35" s="257"/>
      <c r="O35" s="257"/>
      <c r="P35" s="257"/>
      <c r="Q35" s="257"/>
      <c r="R35" s="257"/>
      <c r="S35" s="257"/>
      <c r="T35" s="257"/>
      <c r="U35" s="257"/>
      <c r="V35" s="257"/>
      <c r="W35" s="257"/>
      <c r="X35" s="257"/>
      <c r="Y35" s="257"/>
      <c r="Z35" s="257"/>
      <c r="AA35" s="257"/>
      <c r="AB35" s="257"/>
      <c r="AC35" s="257"/>
      <c r="AD35" s="257"/>
      <c r="AE35" s="257"/>
      <c r="AF35" s="257"/>
      <c r="AG35" s="257"/>
      <c r="AH35" s="257"/>
      <c r="AI35" s="257"/>
      <c r="AJ35" s="257"/>
      <c r="AK35" s="257"/>
      <c r="AL35" s="257"/>
      <c r="AM35" s="257"/>
      <c r="AN35" s="257"/>
      <c r="AO35" s="257"/>
      <c r="AP35" s="257"/>
      <c r="AQ35" s="257"/>
      <c r="AR35" s="257"/>
      <c r="AS35" s="257"/>
      <c r="AT35" s="257"/>
      <c r="AU35" s="257"/>
      <c r="AV35" s="257"/>
      <c r="AW35" s="257"/>
      <c r="AX35" s="257"/>
      <c r="AY35" s="257"/>
      <c r="AZ35" s="257"/>
      <c r="BA35" s="257"/>
      <c r="BB35" s="257"/>
      <c r="BC35" s="257"/>
      <c r="BD35" s="257"/>
      <c r="BE35" s="257"/>
      <c r="BF35" s="257"/>
      <c r="BG35" s="257"/>
      <c r="BH35" s="257"/>
      <c r="BI35" s="257"/>
      <c r="BJ35" s="257"/>
      <c r="BK35" s="257"/>
      <c r="BL35" s="257"/>
      <c r="BM35" s="257"/>
      <c r="BN35" s="257"/>
      <c r="BO35" s="257"/>
      <c r="BP35" s="257"/>
      <c r="BQ35" s="257"/>
      <c r="BR35" s="257"/>
      <c r="BS35" s="257"/>
      <c r="BT35" s="257"/>
      <c r="BU35" s="257"/>
      <c r="BV35" s="257"/>
      <c r="BW35" s="257"/>
      <c r="BX35" s="257"/>
      <c r="BY35" s="257"/>
      <c r="BZ35" s="257"/>
      <c r="CA35" s="257"/>
      <c r="CB35" s="257"/>
      <c r="CC35" s="257"/>
      <c r="CD35" s="257"/>
      <c r="CE35" s="257"/>
      <c r="CF35" s="257"/>
      <c r="CG35" s="257"/>
      <c r="CH35" s="257"/>
      <c r="CI35" s="257"/>
      <c r="CJ35" s="257"/>
      <c r="CK35" s="257"/>
      <c r="CL35" s="257"/>
      <c r="CM35" s="257"/>
      <c r="CN35" s="257"/>
      <c r="CO35" s="257"/>
      <c r="CP35" s="257"/>
      <c r="CQ35" s="257"/>
      <c r="CR35" s="257"/>
      <c r="CS35" s="257"/>
      <c r="CT35" s="257"/>
      <c r="CU35" s="257"/>
      <c r="CV35" s="257"/>
      <c r="CW35" s="257"/>
      <c r="CX35" s="257"/>
      <c r="CY35" s="257"/>
      <c r="CZ35" s="257"/>
      <c r="DA35" s="257"/>
      <c r="DB35" s="257"/>
      <c r="DC35" s="257"/>
      <c r="DD35" s="257"/>
      <c r="DE35" s="11" t="s">
        <v>660</v>
      </c>
      <c r="DF35" s="2">
        <f t="shared" si="0"/>
        <v>14</v>
      </c>
    </row>
    <row r="36" spans="1:110" ht="13.5" customHeight="1" x14ac:dyDescent="0.3">
      <c r="A36" s="256"/>
      <c r="B36" s="257"/>
      <c r="C36" s="257"/>
      <c r="D36" s="257"/>
      <c r="E36" s="257"/>
      <c r="F36" s="257"/>
      <c r="G36" s="257"/>
      <c r="H36" s="257"/>
      <c r="I36" s="257"/>
      <c r="J36" s="257"/>
      <c r="K36" s="257"/>
      <c r="L36" s="257"/>
      <c r="M36" s="257"/>
      <c r="N36" s="257"/>
      <c r="O36" s="257"/>
      <c r="P36" s="257"/>
      <c r="Q36" s="257"/>
      <c r="R36" s="257"/>
      <c r="S36" s="257"/>
      <c r="T36" s="257"/>
      <c r="U36" s="257"/>
      <c r="V36" s="257"/>
      <c r="W36" s="257"/>
      <c r="X36" s="257"/>
      <c r="Y36" s="257"/>
      <c r="Z36" s="257"/>
      <c r="AA36" s="257"/>
      <c r="AB36" s="257"/>
      <c r="AC36" s="257"/>
      <c r="AD36" s="257"/>
      <c r="AE36" s="257"/>
      <c r="AF36" s="257"/>
      <c r="AG36" s="257"/>
      <c r="AH36" s="257"/>
      <c r="AI36" s="257"/>
      <c r="AJ36" s="257"/>
      <c r="AK36" s="257"/>
      <c r="AL36" s="257"/>
      <c r="AM36" s="257"/>
      <c r="AN36" s="257"/>
      <c r="AO36" s="257"/>
      <c r="AP36" s="257"/>
      <c r="AQ36" s="257"/>
      <c r="AR36" s="257"/>
      <c r="AS36" s="257"/>
      <c r="AT36" s="257"/>
      <c r="AU36" s="257"/>
      <c r="AV36" s="257"/>
      <c r="AW36" s="257"/>
      <c r="AX36" s="257"/>
      <c r="AY36" s="257"/>
      <c r="AZ36" s="257"/>
      <c r="BA36" s="257"/>
      <c r="BB36" s="257"/>
      <c r="BC36" s="257"/>
      <c r="BD36" s="257"/>
      <c r="BE36" s="257"/>
      <c r="BF36" s="257"/>
      <c r="BG36" s="257"/>
      <c r="BH36" s="257"/>
      <c r="BI36" s="257"/>
      <c r="BJ36" s="257"/>
      <c r="BK36" s="257"/>
      <c r="BL36" s="257"/>
      <c r="BM36" s="257"/>
      <c r="BN36" s="257"/>
      <c r="BO36" s="257"/>
      <c r="BP36" s="257"/>
      <c r="BQ36" s="257"/>
      <c r="BR36" s="257"/>
      <c r="BS36" s="257"/>
      <c r="BT36" s="257"/>
      <c r="BU36" s="257"/>
      <c r="BV36" s="257"/>
      <c r="BW36" s="257"/>
      <c r="BX36" s="257"/>
      <c r="BY36" s="257"/>
      <c r="BZ36" s="257"/>
      <c r="CA36" s="257"/>
      <c r="CB36" s="257"/>
      <c r="CC36" s="257"/>
      <c r="CD36" s="257"/>
      <c r="CE36" s="257"/>
      <c r="CF36" s="257"/>
      <c r="CG36" s="257"/>
      <c r="CH36" s="257"/>
      <c r="CI36" s="257"/>
      <c r="CJ36" s="257"/>
      <c r="CK36" s="257"/>
      <c r="CL36" s="257"/>
      <c r="CM36" s="257"/>
      <c r="CN36" s="257"/>
      <c r="CO36" s="257"/>
      <c r="CP36" s="257"/>
      <c r="CQ36" s="257"/>
      <c r="CR36" s="257"/>
      <c r="CS36" s="257"/>
      <c r="CT36" s="257"/>
      <c r="CU36" s="257"/>
      <c r="CV36" s="257"/>
      <c r="CW36" s="257"/>
      <c r="CX36" s="257"/>
      <c r="CY36" s="257"/>
      <c r="CZ36" s="257"/>
      <c r="DA36" s="257"/>
      <c r="DB36" s="257"/>
      <c r="DC36" s="257"/>
      <c r="DD36" s="257"/>
      <c r="DE36" s="11" t="s">
        <v>660</v>
      </c>
      <c r="DF36" s="2">
        <f t="shared" si="0"/>
        <v>15</v>
      </c>
    </row>
    <row r="37" spans="1:110" ht="13.5" customHeight="1" x14ac:dyDescent="0.3">
      <c r="A37" s="256"/>
      <c r="B37" s="257"/>
      <c r="C37" s="257"/>
      <c r="D37" s="257"/>
      <c r="E37" s="257"/>
      <c r="F37" s="257"/>
      <c r="G37" s="257"/>
      <c r="H37" s="257"/>
      <c r="I37" s="257"/>
      <c r="J37" s="257"/>
      <c r="K37" s="257"/>
      <c r="L37" s="257"/>
      <c r="M37" s="257"/>
      <c r="N37" s="257"/>
      <c r="O37" s="257"/>
      <c r="P37" s="257"/>
      <c r="Q37" s="257"/>
      <c r="R37" s="257"/>
      <c r="S37" s="257"/>
      <c r="T37" s="257"/>
      <c r="U37" s="257"/>
      <c r="V37" s="257"/>
      <c r="W37" s="257"/>
      <c r="X37" s="257"/>
      <c r="Y37" s="257"/>
      <c r="Z37" s="257"/>
      <c r="AA37" s="257"/>
      <c r="AB37" s="257"/>
      <c r="AC37" s="257"/>
      <c r="AD37" s="257"/>
      <c r="AE37" s="257"/>
      <c r="AF37" s="257"/>
      <c r="AG37" s="257"/>
      <c r="AH37" s="257"/>
      <c r="AI37" s="257"/>
      <c r="AJ37" s="257"/>
      <c r="AK37" s="257"/>
      <c r="AL37" s="257"/>
      <c r="AM37" s="257"/>
      <c r="AN37" s="257"/>
      <c r="AO37" s="257"/>
      <c r="AP37" s="257"/>
      <c r="AQ37" s="257"/>
      <c r="AR37" s="257"/>
      <c r="AS37" s="257"/>
      <c r="AT37" s="257"/>
      <c r="AU37" s="257"/>
      <c r="AV37" s="257"/>
      <c r="AW37" s="257"/>
      <c r="AX37" s="257"/>
      <c r="AY37" s="257"/>
      <c r="AZ37" s="257"/>
      <c r="BA37" s="257"/>
      <c r="BB37" s="257"/>
      <c r="BC37" s="257"/>
      <c r="BD37" s="257"/>
      <c r="BE37" s="257"/>
      <c r="BF37" s="257"/>
      <c r="BG37" s="257"/>
      <c r="BH37" s="257"/>
      <c r="BI37" s="257"/>
      <c r="BJ37" s="257"/>
      <c r="BK37" s="257"/>
      <c r="BL37" s="257"/>
      <c r="BM37" s="257"/>
      <c r="BN37" s="257"/>
      <c r="BO37" s="257"/>
      <c r="BP37" s="257"/>
      <c r="BQ37" s="257"/>
      <c r="BR37" s="257"/>
      <c r="BS37" s="257"/>
      <c r="BT37" s="257"/>
      <c r="BU37" s="257"/>
      <c r="BV37" s="257"/>
      <c r="BW37" s="257"/>
      <c r="BX37" s="257"/>
      <c r="BY37" s="257"/>
      <c r="BZ37" s="257"/>
      <c r="CA37" s="257"/>
      <c r="CB37" s="257"/>
      <c r="CC37" s="257"/>
      <c r="CD37" s="257"/>
      <c r="CE37" s="257"/>
      <c r="CF37" s="257"/>
      <c r="CG37" s="257"/>
      <c r="CH37" s="257"/>
      <c r="CI37" s="257"/>
      <c r="CJ37" s="257"/>
      <c r="CK37" s="257"/>
      <c r="CL37" s="257"/>
      <c r="CM37" s="257"/>
      <c r="CN37" s="257"/>
      <c r="CO37" s="257"/>
      <c r="CP37" s="257"/>
      <c r="CQ37" s="257"/>
      <c r="CR37" s="257"/>
      <c r="CS37" s="257"/>
      <c r="CT37" s="257"/>
      <c r="CU37" s="257"/>
      <c r="CV37" s="257"/>
      <c r="CW37" s="257"/>
      <c r="CX37" s="257"/>
      <c r="CY37" s="257"/>
      <c r="CZ37" s="257"/>
      <c r="DA37" s="257"/>
      <c r="DB37" s="257"/>
      <c r="DC37" s="257"/>
      <c r="DD37" s="257"/>
      <c r="DE37" s="11" t="s">
        <v>660</v>
      </c>
      <c r="DF37" s="2">
        <f t="shared" si="0"/>
        <v>16</v>
      </c>
    </row>
    <row r="38" spans="1:110" ht="13.5" customHeight="1" x14ac:dyDescent="0.3">
      <c r="A38" s="256"/>
      <c r="B38" s="257"/>
      <c r="C38" s="257"/>
      <c r="D38" s="257"/>
      <c r="E38" s="257"/>
      <c r="F38" s="257"/>
      <c r="G38" s="257"/>
      <c r="H38" s="257"/>
      <c r="I38" s="257"/>
      <c r="J38" s="257"/>
      <c r="K38" s="257"/>
      <c r="L38" s="257"/>
      <c r="M38" s="257"/>
      <c r="N38" s="257"/>
      <c r="O38" s="257"/>
      <c r="P38" s="257"/>
      <c r="Q38" s="257"/>
      <c r="R38" s="257"/>
      <c r="S38" s="257"/>
      <c r="T38" s="257"/>
      <c r="U38" s="257"/>
      <c r="V38" s="257"/>
      <c r="W38" s="257"/>
      <c r="X38" s="257"/>
      <c r="Y38" s="257"/>
      <c r="Z38" s="257"/>
      <c r="AA38" s="257"/>
      <c r="AB38" s="257"/>
      <c r="AC38" s="257"/>
      <c r="AD38" s="257"/>
      <c r="AE38" s="257"/>
      <c r="AF38" s="257"/>
      <c r="AG38" s="257"/>
      <c r="AH38" s="257"/>
      <c r="AI38" s="257"/>
      <c r="AJ38" s="257"/>
      <c r="AK38" s="257"/>
      <c r="AL38" s="257"/>
      <c r="AM38" s="257"/>
      <c r="AN38" s="257"/>
      <c r="AO38" s="257"/>
      <c r="AP38" s="257"/>
      <c r="AQ38" s="257"/>
      <c r="AR38" s="257"/>
      <c r="AS38" s="257"/>
      <c r="AT38" s="257"/>
      <c r="AU38" s="257"/>
      <c r="AV38" s="257"/>
      <c r="AW38" s="257"/>
      <c r="AX38" s="257"/>
      <c r="AY38" s="257"/>
      <c r="AZ38" s="257"/>
      <c r="BA38" s="257"/>
      <c r="BB38" s="257"/>
      <c r="BC38" s="257"/>
      <c r="BD38" s="257"/>
      <c r="BE38" s="257"/>
      <c r="BF38" s="257"/>
      <c r="BG38" s="257"/>
      <c r="BH38" s="257"/>
      <c r="BI38" s="257"/>
      <c r="BJ38" s="257"/>
      <c r="BK38" s="257"/>
      <c r="BL38" s="257"/>
      <c r="BM38" s="257"/>
      <c r="BN38" s="257"/>
      <c r="BO38" s="257"/>
      <c r="BP38" s="257"/>
      <c r="BQ38" s="257"/>
      <c r="BR38" s="257"/>
      <c r="BS38" s="257"/>
      <c r="BT38" s="257"/>
      <c r="BU38" s="257"/>
      <c r="BV38" s="257"/>
      <c r="BW38" s="257"/>
      <c r="BX38" s="257"/>
      <c r="BY38" s="257"/>
      <c r="BZ38" s="257"/>
      <c r="CA38" s="257"/>
      <c r="CB38" s="257"/>
      <c r="CC38" s="257"/>
      <c r="CD38" s="257"/>
      <c r="CE38" s="257"/>
      <c r="CF38" s="257"/>
      <c r="CG38" s="257"/>
      <c r="CH38" s="257"/>
      <c r="CI38" s="257"/>
      <c r="CJ38" s="257"/>
      <c r="CK38" s="257"/>
      <c r="CL38" s="257"/>
      <c r="CM38" s="257"/>
      <c r="CN38" s="257"/>
      <c r="CO38" s="257"/>
      <c r="CP38" s="257"/>
      <c r="CQ38" s="257"/>
      <c r="CR38" s="257"/>
      <c r="CS38" s="257"/>
      <c r="CT38" s="257"/>
      <c r="CU38" s="257"/>
      <c r="CV38" s="257"/>
      <c r="CW38" s="257"/>
      <c r="CX38" s="257"/>
      <c r="CY38" s="257"/>
      <c r="CZ38" s="257"/>
      <c r="DA38" s="257"/>
      <c r="DB38" s="257"/>
      <c r="DC38" s="257"/>
      <c r="DD38" s="257"/>
      <c r="DE38" s="11" t="s">
        <v>660</v>
      </c>
      <c r="DF38" s="2">
        <f t="shared" si="0"/>
        <v>17</v>
      </c>
    </row>
    <row r="39" spans="1:110" ht="13.5" customHeight="1" x14ac:dyDescent="0.3">
      <c r="A39" s="256"/>
      <c r="B39" s="257"/>
      <c r="C39" s="257"/>
      <c r="D39" s="257"/>
      <c r="E39" s="257"/>
      <c r="F39" s="257"/>
      <c r="G39" s="257"/>
      <c r="H39" s="257"/>
      <c r="I39" s="257"/>
      <c r="J39" s="257"/>
      <c r="K39" s="257"/>
      <c r="L39" s="257"/>
      <c r="M39" s="257"/>
      <c r="N39" s="257"/>
      <c r="O39" s="257"/>
      <c r="P39" s="257"/>
      <c r="Q39" s="257"/>
      <c r="R39" s="257"/>
      <c r="S39" s="257"/>
      <c r="T39" s="257"/>
      <c r="U39" s="257"/>
      <c r="V39" s="257"/>
      <c r="W39" s="257"/>
      <c r="X39" s="257"/>
      <c r="Y39" s="257"/>
      <c r="Z39" s="257"/>
      <c r="AA39" s="257"/>
      <c r="AB39" s="257"/>
      <c r="AC39" s="257"/>
      <c r="AD39" s="257"/>
      <c r="AE39" s="257"/>
      <c r="AF39" s="257"/>
      <c r="AG39" s="257"/>
      <c r="AH39" s="257"/>
      <c r="AI39" s="257"/>
      <c r="AJ39" s="257"/>
      <c r="AK39" s="257"/>
      <c r="AL39" s="257"/>
      <c r="AM39" s="257"/>
      <c r="AN39" s="257"/>
      <c r="AO39" s="257"/>
      <c r="AP39" s="257"/>
      <c r="AQ39" s="257"/>
      <c r="AR39" s="257"/>
      <c r="AS39" s="257"/>
      <c r="AT39" s="257"/>
      <c r="AU39" s="257"/>
      <c r="AV39" s="257"/>
      <c r="AW39" s="257"/>
      <c r="AX39" s="257"/>
      <c r="AY39" s="257"/>
      <c r="AZ39" s="257"/>
      <c r="BA39" s="257"/>
      <c r="BB39" s="257"/>
      <c r="BC39" s="257"/>
      <c r="BD39" s="257"/>
      <c r="BE39" s="257"/>
      <c r="BF39" s="257"/>
      <c r="BG39" s="257"/>
      <c r="BH39" s="257"/>
      <c r="BI39" s="257"/>
      <c r="BJ39" s="257"/>
      <c r="BK39" s="257"/>
      <c r="BL39" s="257"/>
      <c r="BM39" s="257"/>
      <c r="BN39" s="257"/>
      <c r="BO39" s="257"/>
      <c r="BP39" s="257"/>
      <c r="BQ39" s="257"/>
      <c r="BR39" s="257"/>
      <c r="BS39" s="257"/>
      <c r="BT39" s="257"/>
      <c r="BU39" s="257"/>
      <c r="BV39" s="257"/>
      <c r="BW39" s="257"/>
      <c r="BX39" s="257"/>
      <c r="BY39" s="257"/>
      <c r="BZ39" s="257"/>
      <c r="CA39" s="257"/>
      <c r="CB39" s="257"/>
      <c r="CC39" s="257"/>
      <c r="CD39" s="257"/>
      <c r="CE39" s="257"/>
      <c r="CF39" s="257"/>
      <c r="CG39" s="257"/>
      <c r="CH39" s="257"/>
      <c r="CI39" s="257"/>
      <c r="CJ39" s="257"/>
      <c r="CK39" s="257"/>
      <c r="CL39" s="257"/>
      <c r="CM39" s="257"/>
      <c r="CN39" s="257"/>
      <c r="CO39" s="257"/>
      <c r="CP39" s="257"/>
      <c r="CQ39" s="257"/>
      <c r="CR39" s="257"/>
      <c r="CS39" s="257"/>
      <c r="CT39" s="257"/>
      <c r="CU39" s="257"/>
      <c r="CV39" s="257"/>
      <c r="CW39" s="257"/>
      <c r="CX39" s="257"/>
      <c r="CY39" s="257"/>
      <c r="CZ39" s="257"/>
      <c r="DA39" s="257"/>
      <c r="DB39" s="257"/>
      <c r="DC39" s="257"/>
      <c r="DD39" s="257"/>
      <c r="DE39" s="11" t="s">
        <v>660</v>
      </c>
      <c r="DF39" s="2">
        <f t="shared" si="0"/>
        <v>18</v>
      </c>
    </row>
    <row r="40" spans="1:110" ht="13.5" customHeight="1" x14ac:dyDescent="0.3">
      <c r="A40" s="256"/>
      <c r="B40" s="257"/>
      <c r="C40" s="257"/>
      <c r="D40" s="257"/>
      <c r="E40" s="257"/>
      <c r="F40" s="257"/>
      <c r="G40" s="257"/>
      <c r="H40" s="257"/>
      <c r="I40" s="257"/>
      <c r="J40" s="257"/>
      <c r="K40" s="257"/>
      <c r="L40" s="257"/>
      <c r="M40" s="257"/>
      <c r="N40" s="257"/>
      <c r="O40" s="257"/>
      <c r="P40" s="257"/>
      <c r="Q40" s="257"/>
      <c r="R40" s="257"/>
      <c r="S40" s="257"/>
      <c r="T40" s="257"/>
      <c r="U40" s="257"/>
      <c r="V40" s="257"/>
      <c r="W40" s="257"/>
      <c r="X40" s="257"/>
      <c r="Y40" s="257"/>
      <c r="Z40" s="257"/>
      <c r="AA40" s="257"/>
      <c r="AB40" s="257"/>
      <c r="AC40" s="257"/>
      <c r="AD40" s="257"/>
      <c r="AE40" s="257"/>
      <c r="AF40" s="257"/>
      <c r="AG40" s="257"/>
      <c r="AH40" s="257"/>
      <c r="AI40" s="257"/>
      <c r="AJ40" s="257"/>
      <c r="AK40" s="257"/>
      <c r="AL40" s="257"/>
      <c r="AM40" s="257"/>
      <c r="AN40" s="257"/>
      <c r="AO40" s="257"/>
      <c r="AP40" s="257"/>
      <c r="AQ40" s="257"/>
      <c r="AR40" s="257"/>
      <c r="AS40" s="257"/>
      <c r="AT40" s="257"/>
      <c r="AU40" s="257"/>
      <c r="AV40" s="257"/>
      <c r="AW40" s="257"/>
      <c r="AX40" s="257"/>
      <c r="AY40" s="257"/>
      <c r="AZ40" s="257"/>
      <c r="BA40" s="257"/>
      <c r="BB40" s="257"/>
      <c r="BC40" s="257"/>
      <c r="BD40" s="257"/>
      <c r="BE40" s="257"/>
      <c r="BF40" s="257"/>
      <c r="BG40" s="257"/>
      <c r="BH40" s="257"/>
      <c r="BI40" s="257"/>
      <c r="BJ40" s="257"/>
      <c r="BK40" s="257"/>
      <c r="BL40" s="257"/>
      <c r="BM40" s="257"/>
      <c r="BN40" s="257"/>
      <c r="BO40" s="257"/>
      <c r="BP40" s="257"/>
      <c r="BQ40" s="257"/>
      <c r="BR40" s="257"/>
      <c r="BS40" s="257"/>
      <c r="BT40" s="257"/>
      <c r="BU40" s="257"/>
      <c r="BV40" s="257"/>
      <c r="BW40" s="257"/>
      <c r="BX40" s="257"/>
      <c r="BY40" s="257"/>
      <c r="BZ40" s="257"/>
      <c r="CA40" s="257"/>
      <c r="CB40" s="257"/>
      <c r="CC40" s="257"/>
      <c r="CD40" s="257"/>
      <c r="CE40" s="257"/>
      <c r="CF40" s="257"/>
      <c r="CG40" s="257"/>
      <c r="CH40" s="257"/>
      <c r="CI40" s="257"/>
      <c r="CJ40" s="257"/>
      <c r="CK40" s="257"/>
      <c r="CL40" s="257"/>
      <c r="CM40" s="257"/>
      <c r="CN40" s="257"/>
      <c r="CO40" s="257"/>
      <c r="CP40" s="257"/>
      <c r="CQ40" s="257"/>
      <c r="CR40" s="257"/>
      <c r="CS40" s="257"/>
      <c r="CT40" s="257"/>
      <c r="CU40" s="257"/>
      <c r="CV40" s="257"/>
      <c r="CW40" s="257"/>
      <c r="CX40" s="257"/>
      <c r="CY40" s="257"/>
      <c r="CZ40" s="257"/>
      <c r="DA40" s="257"/>
      <c r="DB40" s="257"/>
      <c r="DC40" s="257"/>
      <c r="DD40" s="257"/>
      <c r="DE40" s="11" t="s">
        <v>660</v>
      </c>
      <c r="DF40" s="2">
        <f t="shared" si="0"/>
        <v>19</v>
      </c>
    </row>
    <row r="41" spans="1:110" ht="13.5" customHeight="1" x14ac:dyDescent="0.3">
      <c r="A41" s="256"/>
      <c r="B41" s="257"/>
      <c r="C41" s="257"/>
      <c r="D41" s="257"/>
      <c r="E41" s="257"/>
      <c r="F41" s="257"/>
      <c r="G41" s="257"/>
      <c r="H41" s="257"/>
      <c r="I41" s="257"/>
      <c r="J41" s="257"/>
      <c r="K41" s="257"/>
      <c r="L41" s="257"/>
      <c r="M41" s="257"/>
      <c r="N41" s="257"/>
      <c r="O41" s="257"/>
      <c r="P41" s="257"/>
      <c r="Q41" s="257"/>
      <c r="R41" s="257"/>
      <c r="S41" s="257"/>
      <c r="T41" s="257"/>
      <c r="U41" s="257"/>
      <c r="V41" s="257"/>
      <c r="W41" s="257"/>
      <c r="X41" s="257"/>
      <c r="Y41" s="257"/>
      <c r="Z41" s="257"/>
      <c r="AA41" s="257"/>
      <c r="AB41" s="257"/>
      <c r="AC41" s="257"/>
      <c r="AD41" s="257"/>
      <c r="AE41" s="257"/>
      <c r="AF41" s="257"/>
      <c r="AG41" s="257"/>
      <c r="AH41" s="257"/>
      <c r="AI41" s="257"/>
      <c r="AJ41" s="257"/>
      <c r="AK41" s="257"/>
      <c r="AL41" s="257"/>
      <c r="AM41" s="257"/>
      <c r="AN41" s="257"/>
      <c r="AO41" s="257"/>
      <c r="AP41" s="257"/>
      <c r="AQ41" s="257"/>
      <c r="AR41" s="257"/>
      <c r="AS41" s="257"/>
      <c r="AT41" s="257"/>
      <c r="AU41" s="257"/>
      <c r="AV41" s="257"/>
      <c r="AW41" s="257"/>
      <c r="AX41" s="257"/>
      <c r="AY41" s="257"/>
      <c r="AZ41" s="257"/>
      <c r="BA41" s="257"/>
      <c r="BB41" s="257"/>
      <c r="BC41" s="257"/>
      <c r="BD41" s="257"/>
      <c r="BE41" s="257"/>
      <c r="BF41" s="257"/>
      <c r="BG41" s="257"/>
      <c r="BH41" s="257"/>
      <c r="BI41" s="257"/>
      <c r="BJ41" s="257"/>
      <c r="BK41" s="257"/>
      <c r="BL41" s="257"/>
      <c r="BM41" s="257"/>
      <c r="BN41" s="257"/>
      <c r="BO41" s="257"/>
      <c r="BP41" s="257"/>
      <c r="BQ41" s="257"/>
      <c r="BR41" s="257"/>
      <c r="BS41" s="257"/>
      <c r="BT41" s="257"/>
      <c r="BU41" s="257"/>
      <c r="BV41" s="257"/>
      <c r="BW41" s="257"/>
      <c r="BX41" s="257"/>
      <c r="BY41" s="257"/>
      <c r="BZ41" s="257"/>
      <c r="CA41" s="257"/>
      <c r="CB41" s="257"/>
      <c r="CC41" s="257"/>
      <c r="CD41" s="257"/>
      <c r="CE41" s="257"/>
      <c r="CF41" s="257"/>
      <c r="CG41" s="257"/>
      <c r="CH41" s="257"/>
      <c r="CI41" s="257"/>
      <c r="CJ41" s="257"/>
      <c r="CK41" s="257"/>
      <c r="CL41" s="257"/>
      <c r="CM41" s="257"/>
      <c r="CN41" s="257"/>
      <c r="CO41" s="257"/>
      <c r="CP41" s="257"/>
      <c r="CQ41" s="257"/>
      <c r="CR41" s="257"/>
      <c r="CS41" s="257"/>
      <c r="CT41" s="257"/>
      <c r="CU41" s="257"/>
      <c r="CV41" s="257"/>
      <c r="CW41" s="257"/>
      <c r="CX41" s="257"/>
      <c r="CY41" s="257"/>
      <c r="CZ41" s="257"/>
      <c r="DA41" s="257"/>
      <c r="DB41" s="257"/>
      <c r="DC41" s="257"/>
      <c r="DD41" s="257"/>
      <c r="DE41" s="11" t="s">
        <v>660</v>
      </c>
      <c r="DF41" s="2">
        <f t="shared" si="0"/>
        <v>20</v>
      </c>
    </row>
    <row r="42" spans="1:110" ht="13.5" customHeight="1" x14ac:dyDescent="0.3">
      <c r="A42" s="256"/>
      <c r="B42" s="257"/>
      <c r="C42" s="257"/>
      <c r="D42" s="257"/>
      <c r="E42" s="257"/>
      <c r="F42" s="257"/>
      <c r="G42" s="257"/>
      <c r="H42" s="257"/>
      <c r="I42" s="257"/>
      <c r="J42" s="257"/>
      <c r="K42" s="257"/>
      <c r="L42" s="257"/>
      <c r="M42" s="257"/>
      <c r="N42" s="257"/>
      <c r="O42" s="257"/>
      <c r="P42" s="257"/>
      <c r="Q42" s="257"/>
      <c r="R42" s="257"/>
      <c r="S42" s="257"/>
      <c r="T42" s="257"/>
      <c r="U42" s="257"/>
      <c r="V42" s="257"/>
      <c r="W42" s="257"/>
      <c r="X42" s="257"/>
      <c r="Y42" s="257"/>
      <c r="Z42" s="257"/>
      <c r="AA42" s="257"/>
      <c r="AB42" s="257"/>
      <c r="AC42" s="257"/>
      <c r="AD42" s="257"/>
      <c r="AE42" s="257"/>
      <c r="AF42" s="257"/>
      <c r="AG42" s="257"/>
      <c r="AH42" s="257"/>
      <c r="AI42" s="257"/>
      <c r="AJ42" s="257"/>
      <c r="AK42" s="257"/>
      <c r="AL42" s="257"/>
      <c r="AM42" s="257"/>
      <c r="AN42" s="257"/>
      <c r="AO42" s="257"/>
      <c r="AP42" s="257"/>
      <c r="AQ42" s="257"/>
      <c r="AR42" s="257"/>
      <c r="AS42" s="257"/>
      <c r="AT42" s="257"/>
      <c r="AU42" s="257"/>
      <c r="AV42" s="257"/>
      <c r="AW42" s="257"/>
      <c r="AX42" s="257"/>
      <c r="AY42" s="257"/>
      <c r="AZ42" s="257"/>
      <c r="BA42" s="257"/>
      <c r="BB42" s="257"/>
      <c r="BC42" s="257"/>
      <c r="BD42" s="257"/>
      <c r="BE42" s="257"/>
      <c r="BF42" s="257"/>
      <c r="BG42" s="257"/>
      <c r="BH42" s="257"/>
      <c r="BI42" s="257"/>
      <c r="BJ42" s="257"/>
      <c r="BK42" s="257"/>
      <c r="BL42" s="257"/>
      <c r="BM42" s="257"/>
      <c r="BN42" s="257"/>
      <c r="BO42" s="257"/>
      <c r="BP42" s="257"/>
      <c r="BQ42" s="257"/>
      <c r="BR42" s="257"/>
      <c r="BS42" s="257"/>
      <c r="BT42" s="257"/>
      <c r="BU42" s="257"/>
      <c r="BV42" s="257"/>
      <c r="BW42" s="257"/>
      <c r="BX42" s="257"/>
      <c r="BY42" s="257"/>
      <c r="BZ42" s="257"/>
      <c r="CA42" s="257"/>
      <c r="CB42" s="257"/>
      <c r="CC42" s="257"/>
      <c r="CD42" s="257"/>
      <c r="CE42" s="257"/>
      <c r="CF42" s="257"/>
      <c r="CG42" s="257"/>
      <c r="CH42" s="257"/>
      <c r="CI42" s="257"/>
      <c r="CJ42" s="257"/>
      <c r="CK42" s="257"/>
      <c r="CL42" s="257"/>
      <c r="CM42" s="257"/>
      <c r="CN42" s="257"/>
      <c r="CO42" s="257"/>
      <c r="CP42" s="257"/>
      <c r="CQ42" s="257"/>
      <c r="CR42" s="257"/>
      <c r="CS42" s="257"/>
      <c r="CT42" s="257"/>
      <c r="CU42" s="257"/>
      <c r="CV42" s="257"/>
      <c r="CW42" s="257"/>
      <c r="CX42" s="257"/>
      <c r="CY42" s="257"/>
      <c r="CZ42" s="257"/>
      <c r="DA42" s="257"/>
      <c r="DB42" s="257"/>
      <c r="DC42" s="257"/>
      <c r="DD42" s="257"/>
      <c r="DE42" s="11" t="s">
        <v>660</v>
      </c>
      <c r="DF42" s="2">
        <f t="shared" si="0"/>
        <v>21</v>
      </c>
    </row>
    <row r="43" spans="1:110" ht="13.5" customHeight="1" x14ac:dyDescent="0.3">
      <c r="A43" s="256"/>
      <c r="B43" s="257"/>
      <c r="C43" s="257"/>
      <c r="D43" s="257"/>
      <c r="E43" s="257"/>
      <c r="F43" s="257"/>
      <c r="G43" s="257"/>
      <c r="H43" s="257"/>
      <c r="I43" s="257"/>
      <c r="J43" s="257"/>
      <c r="K43" s="257"/>
      <c r="L43" s="257"/>
      <c r="M43" s="257"/>
      <c r="N43" s="257"/>
      <c r="O43" s="257"/>
      <c r="P43" s="257"/>
      <c r="Q43" s="257"/>
      <c r="R43" s="257"/>
      <c r="S43" s="257"/>
      <c r="T43" s="257"/>
      <c r="U43" s="257"/>
      <c r="V43" s="257"/>
      <c r="W43" s="257"/>
      <c r="X43" s="257"/>
      <c r="Y43" s="257"/>
      <c r="Z43" s="257"/>
      <c r="AA43" s="257"/>
      <c r="AB43" s="257"/>
      <c r="AC43" s="257"/>
      <c r="AD43" s="257"/>
      <c r="AE43" s="257"/>
      <c r="AF43" s="257"/>
      <c r="AG43" s="257"/>
      <c r="AH43" s="257"/>
      <c r="AI43" s="257"/>
      <c r="AJ43" s="257"/>
      <c r="AK43" s="257"/>
      <c r="AL43" s="257"/>
      <c r="AM43" s="257"/>
      <c r="AN43" s="257"/>
      <c r="AO43" s="257"/>
      <c r="AP43" s="257"/>
      <c r="AQ43" s="257"/>
      <c r="AR43" s="257"/>
      <c r="AS43" s="257"/>
      <c r="AT43" s="257"/>
      <c r="AU43" s="257"/>
      <c r="AV43" s="257"/>
      <c r="AW43" s="257"/>
      <c r="AX43" s="257"/>
      <c r="AY43" s="257"/>
      <c r="AZ43" s="257"/>
      <c r="BA43" s="257"/>
      <c r="BB43" s="257"/>
      <c r="BC43" s="257"/>
      <c r="BD43" s="257"/>
      <c r="BE43" s="257"/>
      <c r="BF43" s="257"/>
      <c r="BG43" s="257"/>
      <c r="BH43" s="257"/>
      <c r="BI43" s="257"/>
      <c r="BJ43" s="257"/>
      <c r="BK43" s="257"/>
      <c r="BL43" s="257"/>
      <c r="BM43" s="257"/>
      <c r="BN43" s="257"/>
      <c r="BO43" s="257"/>
      <c r="BP43" s="257"/>
      <c r="BQ43" s="257"/>
      <c r="BR43" s="257"/>
      <c r="BS43" s="257"/>
      <c r="BT43" s="257"/>
      <c r="BU43" s="257"/>
      <c r="BV43" s="257"/>
      <c r="BW43" s="257"/>
      <c r="BX43" s="257"/>
      <c r="BY43" s="257"/>
      <c r="BZ43" s="257"/>
      <c r="CA43" s="257"/>
      <c r="CB43" s="257"/>
      <c r="CC43" s="257"/>
      <c r="CD43" s="257"/>
      <c r="CE43" s="257"/>
      <c r="CF43" s="257"/>
      <c r="CG43" s="257"/>
      <c r="CH43" s="257"/>
      <c r="CI43" s="257"/>
      <c r="CJ43" s="257"/>
      <c r="CK43" s="257"/>
      <c r="CL43" s="257"/>
      <c r="CM43" s="257"/>
      <c r="CN43" s="257"/>
      <c r="CO43" s="257"/>
      <c r="CP43" s="257"/>
      <c r="CQ43" s="257"/>
      <c r="CR43" s="257"/>
      <c r="CS43" s="257"/>
      <c r="CT43" s="257"/>
      <c r="CU43" s="257"/>
      <c r="CV43" s="257"/>
      <c r="CW43" s="257"/>
      <c r="CX43" s="257"/>
      <c r="CY43" s="257"/>
      <c r="CZ43" s="257"/>
      <c r="DA43" s="257"/>
      <c r="DB43" s="257"/>
      <c r="DC43" s="257"/>
      <c r="DD43" s="257"/>
      <c r="DE43" s="11" t="s">
        <v>660</v>
      </c>
      <c r="DF43" s="2">
        <f t="shared" si="0"/>
        <v>22</v>
      </c>
    </row>
    <row r="44" spans="1:110" ht="13.5" customHeight="1" x14ac:dyDescent="0.3">
      <c r="A44" s="256"/>
      <c r="B44" s="257"/>
      <c r="C44" s="257"/>
      <c r="D44" s="257"/>
      <c r="E44" s="257"/>
      <c r="F44" s="257"/>
      <c r="G44" s="257"/>
      <c r="H44" s="257"/>
      <c r="I44" s="257"/>
      <c r="J44" s="257"/>
      <c r="K44" s="257"/>
      <c r="L44" s="257"/>
      <c r="M44" s="257"/>
      <c r="N44" s="257"/>
      <c r="O44" s="257"/>
      <c r="P44" s="257"/>
      <c r="Q44" s="257"/>
      <c r="R44" s="257"/>
      <c r="S44" s="257"/>
      <c r="T44" s="257"/>
      <c r="U44" s="257"/>
      <c r="V44" s="257"/>
      <c r="W44" s="257"/>
      <c r="X44" s="257"/>
      <c r="Y44" s="257"/>
      <c r="Z44" s="257"/>
      <c r="AA44" s="257"/>
      <c r="AB44" s="257"/>
      <c r="AC44" s="257"/>
      <c r="AD44" s="257"/>
      <c r="AE44" s="257"/>
      <c r="AF44" s="257"/>
      <c r="AG44" s="257"/>
      <c r="AH44" s="257"/>
      <c r="AI44" s="257"/>
      <c r="AJ44" s="257"/>
      <c r="AK44" s="257"/>
      <c r="AL44" s="257"/>
      <c r="AM44" s="257"/>
      <c r="AN44" s="257"/>
      <c r="AO44" s="257"/>
      <c r="AP44" s="257"/>
      <c r="AQ44" s="257"/>
      <c r="AR44" s="257"/>
      <c r="AS44" s="257"/>
      <c r="AT44" s="257"/>
      <c r="AU44" s="257"/>
      <c r="AV44" s="257"/>
      <c r="AW44" s="257"/>
      <c r="AX44" s="257"/>
      <c r="AY44" s="257"/>
      <c r="AZ44" s="257"/>
      <c r="BA44" s="257"/>
      <c r="BB44" s="257"/>
      <c r="BC44" s="257"/>
      <c r="BD44" s="257"/>
      <c r="BE44" s="257"/>
      <c r="BF44" s="257"/>
      <c r="BG44" s="257"/>
      <c r="BH44" s="257"/>
      <c r="BI44" s="257"/>
      <c r="BJ44" s="257"/>
      <c r="BK44" s="257"/>
      <c r="BL44" s="257"/>
      <c r="BM44" s="257"/>
      <c r="BN44" s="257"/>
      <c r="BO44" s="257"/>
      <c r="BP44" s="257"/>
      <c r="BQ44" s="257"/>
      <c r="BR44" s="257"/>
      <c r="BS44" s="257"/>
      <c r="BT44" s="257"/>
      <c r="BU44" s="257"/>
      <c r="BV44" s="257"/>
      <c r="BW44" s="257"/>
      <c r="BX44" s="257"/>
      <c r="BY44" s="257"/>
      <c r="BZ44" s="257"/>
      <c r="CA44" s="257"/>
      <c r="CB44" s="257"/>
      <c r="CC44" s="257"/>
      <c r="CD44" s="257"/>
      <c r="CE44" s="257"/>
      <c r="CF44" s="257"/>
      <c r="CG44" s="257"/>
      <c r="CH44" s="257"/>
      <c r="CI44" s="257"/>
      <c r="CJ44" s="257"/>
      <c r="CK44" s="257"/>
      <c r="CL44" s="257"/>
      <c r="CM44" s="257"/>
      <c r="CN44" s="257"/>
      <c r="CO44" s="257"/>
      <c r="CP44" s="257"/>
      <c r="CQ44" s="257"/>
      <c r="CR44" s="257"/>
      <c r="CS44" s="257"/>
      <c r="CT44" s="257"/>
      <c r="CU44" s="257"/>
      <c r="CV44" s="257"/>
      <c r="CW44" s="257"/>
      <c r="CX44" s="257"/>
      <c r="CY44" s="257"/>
      <c r="CZ44" s="257"/>
      <c r="DA44" s="257"/>
      <c r="DB44" s="257"/>
      <c r="DC44" s="257"/>
      <c r="DD44" s="257"/>
      <c r="DE44" s="11" t="s">
        <v>660</v>
      </c>
      <c r="DF44" s="2">
        <f t="shared" si="0"/>
        <v>23</v>
      </c>
    </row>
    <row r="45" spans="1:110" ht="13.5" customHeight="1" x14ac:dyDescent="0.3">
      <c r="A45" s="256"/>
      <c r="B45" s="257"/>
      <c r="C45" s="257"/>
      <c r="D45" s="257"/>
      <c r="E45" s="257"/>
      <c r="F45" s="257"/>
      <c r="G45" s="257"/>
      <c r="H45" s="257"/>
      <c r="I45" s="257"/>
      <c r="J45" s="257"/>
      <c r="K45" s="257"/>
      <c r="L45" s="257"/>
      <c r="M45" s="257"/>
      <c r="N45" s="257"/>
      <c r="O45" s="257"/>
      <c r="P45" s="257"/>
      <c r="Q45" s="257"/>
      <c r="R45" s="257"/>
      <c r="S45" s="257"/>
      <c r="T45" s="257"/>
      <c r="U45" s="257"/>
      <c r="V45" s="257"/>
      <c r="W45" s="257"/>
      <c r="X45" s="257"/>
      <c r="Y45" s="257"/>
      <c r="Z45" s="257"/>
      <c r="AA45" s="257"/>
      <c r="AB45" s="257"/>
      <c r="AC45" s="257"/>
      <c r="AD45" s="257"/>
      <c r="AE45" s="257"/>
      <c r="AF45" s="257"/>
      <c r="AG45" s="257"/>
      <c r="AH45" s="257"/>
      <c r="AI45" s="257"/>
      <c r="AJ45" s="257"/>
      <c r="AK45" s="257"/>
      <c r="AL45" s="257"/>
      <c r="AM45" s="257"/>
      <c r="AN45" s="257"/>
      <c r="AO45" s="257"/>
      <c r="AP45" s="257"/>
      <c r="AQ45" s="257"/>
      <c r="AR45" s="257"/>
      <c r="AS45" s="257"/>
      <c r="AT45" s="257"/>
      <c r="AU45" s="257"/>
      <c r="AV45" s="257"/>
      <c r="AW45" s="257"/>
      <c r="AX45" s="257"/>
      <c r="AY45" s="257"/>
      <c r="AZ45" s="257"/>
      <c r="BA45" s="257"/>
      <c r="BB45" s="257"/>
      <c r="BC45" s="257"/>
      <c r="BD45" s="257"/>
      <c r="BE45" s="257"/>
      <c r="BF45" s="257"/>
      <c r="BG45" s="257"/>
      <c r="BH45" s="257"/>
      <c r="BI45" s="257"/>
      <c r="BJ45" s="257"/>
      <c r="BK45" s="257"/>
      <c r="BL45" s="257"/>
      <c r="BM45" s="257"/>
      <c r="BN45" s="257"/>
      <c r="BO45" s="257"/>
      <c r="BP45" s="257"/>
      <c r="BQ45" s="257"/>
      <c r="BR45" s="257"/>
      <c r="BS45" s="257"/>
      <c r="BT45" s="257"/>
      <c r="BU45" s="257"/>
      <c r="BV45" s="257"/>
      <c r="BW45" s="257"/>
      <c r="BX45" s="257"/>
      <c r="BY45" s="257"/>
      <c r="BZ45" s="257"/>
      <c r="CA45" s="257"/>
      <c r="CB45" s="257"/>
      <c r="CC45" s="257"/>
      <c r="CD45" s="257"/>
      <c r="CE45" s="257"/>
      <c r="CF45" s="257"/>
      <c r="CG45" s="257"/>
      <c r="CH45" s="257"/>
      <c r="CI45" s="257"/>
      <c r="CJ45" s="257"/>
      <c r="CK45" s="257"/>
      <c r="CL45" s="257"/>
      <c r="CM45" s="257"/>
      <c r="CN45" s="257"/>
      <c r="CO45" s="257"/>
      <c r="CP45" s="257"/>
      <c r="CQ45" s="257"/>
      <c r="CR45" s="257"/>
      <c r="CS45" s="257"/>
      <c r="CT45" s="257"/>
      <c r="CU45" s="257"/>
      <c r="CV45" s="257"/>
      <c r="CW45" s="257"/>
      <c r="CX45" s="257"/>
      <c r="CY45" s="257"/>
      <c r="CZ45" s="257"/>
      <c r="DA45" s="257"/>
      <c r="DB45" s="257"/>
      <c r="DC45" s="257"/>
      <c r="DD45" s="257"/>
      <c r="DE45" s="11" t="s">
        <v>660</v>
      </c>
      <c r="DF45" s="2">
        <f t="shared" si="0"/>
        <v>24</v>
      </c>
    </row>
    <row r="46" spans="1:110" ht="13.5" customHeight="1" x14ac:dyDescent="0.3">
      <c r="A46" s="256"/>
      <c r="B46" s="257"/>
      <c r="C46" s="257"/>
      <c r="D46" s="257"/>
      <c r="E46" s="257"/>
      <c r="F46" s="257"/>
      <c r="G46" s="257"/>
      <c r="H46" s="257"/>
      <c r="I46" s="257"/>
      <c r="J46" s="257"/>
      <c r="K46" s="257"/>
      <c r="L46" s="257"/>
      <c r="M46" s="257"/>
      <c r="N46" s="257"/>
      <c r="O46" s="257"/>
      <c r="P46" s="257"/>
      <c r="Q46" s="257"/>
      <c r="R46" s="257"/>
      <c r="S46" s="257"/>
      <c r="T46" s="257"/>
      <c r="U46" s="257"/>
      <c r="V46" s="257"/>
      <c r="W46" s="257"/>
      <c r="X46" s="257"/>
      <c r="Y46" s="257"/>
      <c r="Z46" s="257"/>
      <c r="AA46" s="257"/>
      <c r="AB46" s="257"/>
      <c r="AC46" s="257"/>
      <c r="AD46" s="257"/>
      <c r="AE46" s="257"/>
      <c r="AF46" s="257"/>
      <c r="AG46" s="257"/>
      <c r="AH46" s="257"/>
      <c r="AI46" s="257"/>
      <c r="AJ46" s="257"/>
      <c r="AK46" s="257"/>
      <c r="AL46" s="257"/>
      <c r="AM46" s="257"/>
      <c r="AN46" s="257"/>
      <c r="AO46" s="257"/>
      <c r="AP46" s="257"/>
      <c r="AQ46" s="257"/>
      <c r="AR46" s="257"/>
      <c r="AS46" s="257"/>
      <c r="AT46" s="257"/>
      <c r="AU46" s="257"/>
      <c r="AV46" s="257"/>
      <c r="AW46" s="257"/>
      <c r="AX46" s="257"/>
      <c r="AY46" s="257"/>
      <c r="AZ46" s="257"/>
      <c r="BA46" s="257"/>
      <c r="BB46" s="257"/>
      <c r="BC46" s="257"/>
      <c r="BD46" s="257"/>
      <c r="BE46" s="257"/>
      <c r="BF46" s="257"/>
      <c r="BG46" s="257"/>
      <c r="BH46" s="257"/>
      <c r="BI46" s="257"/>
      <c r="BJ46" s="257"/>
      <c r="BK46" s="257"/>
      <c r="BL46" s="257"/>
      <c r="BM46" s="257"/>
      <c r="BN46" s="257"/>
      <c r="BO46" s="257"/>
      <c r="BP46" s="257"/>
      <c r="BQ46" s="257"/>
      <c r="BR46" s="257"/>
      <c r="BS46" s="257"/>
      <c r="BT46" s="257"/>
      <c r="BU46" s="257"/>
      <c r="BV46" s="257"/>
      <c r="BW46" s="257"/>
      <c r="BX46" s="257"/>
      <c r="BY46" s="257"/>
      <c r="BZ46" s="257"/>
      <c r="CA46" s="257"/>
      <c r="CB46" s="257"/>
      <c r="CC46" s="257"/>
      <c r="CD46" s="257"/>
      <c r="CE46" s="257"/>
      <c r="CF46" s="257"/>
      <c r="CG46" s="257"/>
      <c r="CH46" s="257"/>
      <c r="CI46" s="257"/>
      <c r="CJ46" s="257"/>
      <c r="CK46" s="257"/>
      <c r="CL46" s="257"/>
      <c r="CM46" s="257"/>
      <c r="CN46" s="257"/>
      <c r="CO46" s="257"/>
      <c r="CP46" s="257"/>
      <c r="CQ46" s="257"/>
      <c r="CR46" s="257"/>
      <c r="CS46" s="257"/>
      <c r="CT46" s="257"/>
      <c r="CU46" s="257"/>
      <c r="CV46" s="257"/>
      <c r="CW46" s="257"/>
      <c r="CX46" s="257"/>
      <c r="CY46" s="257"/>
      <c r="CZ46" s="257"/>
      <c r="DA46" s="257"/>
      <c r="DB46" s="257"/>
      <c r="DC46" s="257"/>
      <c r="DD46" s="257"/>
      <c r="DE46" s="11" t="s">
        <v>660</v>
      </c>
      <c r="DF46" s="2">
        <f t="shared" si="0"/>
        <v>25</v>
      </c>
    </row>
    <row r="47" spans="1:110" ht="13.5" customHeight="1" x14ac:dyDescent="0.3">
      <c r="A47" s="256"/>
      <c r="B47" s="257"/>
      <c r="C47" s="257"/>
      <c r="D47" s="257"/>
      <c r="E47" s="257"/>
      <c r="F47" s="257"/>
      <c r="G47" s="257"/>
      <c r="H47" s="257"/>
      <c r="I47" s="257"/>
      <c r="J47" s="257"/>
      <c r="K47" s="257"/>
      <c r="L47" s="257"/>
      <c r="M47" s="257"/>
      <c r="N47" s="257"/>
      <c r="O47" s="257"/>
      <c r="P47" s="257"/>
      <c r="Q47" s="257"/>
      <c r="R47" s="257"/>
      <c r="S47" s="257"/>
      <c r="T47" s="257"/>
      <c r="U47" s="257"/>
      <c r="V47" s="257"/>
      <c r="W47" s="257"/>
      <c r="X47" s="257"/>
      <c r="Y47" s="257"/>
      <c r="Z47" s="257"/>
      <c r="AA47" s="257"/>
      <c r="AB47" s="257"/>
      <c r="AC47" s="257"/>
      <c r="AD47" s="257"/>
      <c r="AE47" s="257"/>
      <c r="AF47" s="257"/>
      <c r="AG47" s="257"/>
      <c r="AH47" s="257"/>
      <c r="AI47" s="257"/>
      <c r="AJ47" s="257"/>
      <c r="AK47" s="257"/>
      <c r="AL47" s="257"/>
      <c r="AM47" s="257"/>
      <c r="AN47" s="257"/>
      <c r="AO47" s="257"/>
      <c r="AP47" s="257"/>
      <c r="AQ47" s="257"/>
      <c r="AR47" s="257"/>
      <c r="AS47" s="257"/>
      <c r="AT47" s="257"/>
      <c r="AU47" s="257"/>
      <c r="AV47" s="257"/>
      <c r="AW47" s="257"/>
      <c r="AX47" s="257"/>
      <c r="AY47" s="257"/>
      <c r="AZ47" s="257"/>
      <c r="BA47" s="257"/>
      <c r="BB47" s="257"/>
      <c r="BC47" s="257"/>
      <c r="BD47" s="257"/>
      <c r="BE47" s="257"/>
      <c r="BF47" s="257"/>
      <c r="BG47" s="257"/>
      <c r="BH47" s="257"/>
      <c r="BI47" s="257"/>
      <c r="BJ47" s="257"/>
      <c r="BK47" s="257"/>
      <c r="BL47" s="257"/>
      <c r="BM47" s="257"/>
      <c r="BN47" s="257"/>
      <c r="BO47" s="257"/>
      <c r="BP47" s="257"/>
      <c r="BQ47" s="257"/>
      <c r="BR47" s="257"/>
      <c r="BS47" s="257"/>
      <c r="BT47" s="257"/>
      <c r="BU47" s="257"/>
      <c r="BV47" s="257"/>
      <c r="BW47" s="257"/>
      <c r="BX47" s="257"/>
      <c r="BY47" s="257"/>
      <c r="BZ47" s="257"/>
      <c r="CA47" s="257"/>
      <c r="CB47" s="257"/>
      <c r="CC47" s="257"/>
      <c r="CD47" s="257"/>
      <c r="CE47" s="257"/>
      <c r="CF47" s="257"/>
      <c r="CG47" s="257"/>
      <c r="CH47" s="257"/>
      <c r="CI47" s="257"/>
      <c r="CJ47" s="257"/>
      <c r="CK47" s="257"/>
      <c r="CL47" s="257"/>
      <c r="CM47" s="257"/>
      <c r="CN47" s="257"/>
      <c r="CO47" s="257"/>
      <c r="CP47" s="257"/>
      <c r="CQ47" s="257"/>
      <c r="CR47" s="257"/>
      <c r="CS47" s="257"/>
      <c r="CT47" s="257"/>
      <c r="CU47" s="257"/>
      <c r="CV47" s="257"/>
      <c r="CW47" s="257"/>
      <c r="CX47" s="257"/>
      <c r="CY47" s="257"/>
      <c r="CZ47" s="257"/>
      <c r="DA47" s="257"/>
      <c r="DB47" s="257"/>
      <c r="DC47" s="257"/>
      <c r="DD47" s="257"/>
      <c r="DE47" s="11" t="s">
        <v>660</v>
      </c>
      <c r="DF47" s="2">
        <f t="shared" si="0"/>
        <v>26</v>
      </c>
    </row>
    <row r="48" spans="1:110" ht="13.5" customHeight="1" x14ac:dyDescent="0.3">
      <c r="A48" s="256"/>
      <c r="B48" s="257"/>
      <c r="C48" s="257"/>
      <c r="D48" s="257"/>
      <c r="E48" s="257"/>
      <c r="F48" s="257"/>
      <c r="G48" s="257"/>
      <c r="H48" s="257"/>
      <c r="I48" s="257"/>
      <c r="J48" s="257"/>
      <c r="K48" s="257"/>
      <c r="L48" s="257"/>
      <c r="M48" s="257"/>
      <c r="N48" s="257"/>
      <c r="O48" s="257"/>
      <c r="P48" s="257"/>
      <c r="Q48" s="257"/>
      <c r="R48" s="257"/>
      <c r="S48" s="257"/>
      <c r="T48" s="257"/>
      <c r="U48" s="257"/>
      <c r="V48" s="257"/>
      <c r="W48" s="257"/>
      <c r="X48" s="257"/>
      <c r="Y48" s="257"/>
      <c r="Z48" s="257"/>
      <c r="AA48" s="257"/>
      <c r="AB48" s="257"/>
      <c r="AC48" s="257"/>
      <c r="AD48" s="257"/>
      <c r="AE48" s="257"/>
      <c r="AF48" s="257"/>
      <c r="AG48" s="257"/>
      <c r="AH48" s="257"/>
      <c r="AI48" s="257"/>
      <c r="AJ48" s="257"/>
      <c r="AK48" s="257"/>
      <c r="AL48" s="257"/>
      <c r="AM48" s="257"/>
      <c r="AN48" s="257"/>
      <c r="AO48" s="257"/>
      <c r="AP48" s="257"/>
      <c r="AQ48" s="257"/>
      <c r="AR48" s="257"/>
      <c r="AS48" s="257"/>
      <c r="AT48" s="257"/>
      <c r="AU48" s="257"/>
      <c r="AV48" s="257"/>
      <c r="AW48" s="257"/>
      <c r="AX48" s="257"/>
      <c r="AY48" s="257"/>
      <c r="AZ48" s="257"/>
      <c r="BA48" s="257"/>
      <c r="BB48" s="257"/>
      <c r="BC48" s="257"/>
      <c r="BD48" s="257"/>
      <c r="BE48" s="257"/>
      <c r="BF48" s="257"/>
      <c r="BG48" s="257"/>
      <c r="BH48" s="257"/>
      <c r="BI48" s="257"/>
      <c r="BJ48" s="257"/>
      <c r="BK48" s="257"/>
      <c r="BL48" s="257"/>
      <c r="BM48" s="257"/>
      <c r="BN48" s="257"/>
      <c r="BO48" s="257"/>
      <c r="BP48" s="257"/>
      <c r="BQ48" s="257"/>
      <c r="BR48" s="257"/>
      <c r="BS48" s="257"/>
      <c r="BT48" s="257"/>
      <c r="BU48" s="257"/>
      <c r="BV48" s="257"/>
      <c r="BW48" s="257"/>
      <c r="BX48" s="257"/>
      <c r="BY48" s="257"/>
      <c r="BZ48" s="257"/>
      <c r="CA48" s="257"/>
      <c r="CB48" s="257"/>
      <c r="CC48" s="257"/>
      <c r="CD48" s="257"/>
      <c r="CE48" s="257"/>
      <c r="CF48" s="257"/>
      <c r="CG48" s="257"/>
      <c r="CH48" s="257"/>
      <c r="CI48" s="257"/>
      <c r="CJ48" s="257"/>
      <c r="CK48" s="257"/>
      <c r="CL48" s="257"/>
      <c r="CM48" s="257"/>
      <c r="CN48" s="257"/>
      <c r="CO48" s="257"/>
      <c r="CP48" s="257"/>
      <c r="CQ48" s="257"/>
      <c r="CR48" s="257"/>
      <c r="CS48" s="257"/>
      <c r="CT48" s="257"/>
      <c r="CU48" s="257"/>
      <c r="CV48" s="257"/>
      <c r="CW48" s="257"/>
      <c r="CX48" s="257"/>
      <c r="CY48" s="257"/>
      <c r="CZ48" s="257"/>
      <c r="DA48" s="257"/>
      <c r="DB48" s="257"/>
      <c r="DC48" s="257"/>
      <c r="DD48" s="257"/>
      <c r="DE48" s="11" t="s">
        <v>660</v>
      </c>
      <c r="DF48" s="2">
        <f t="shared" si="0"/>
        <v>27</v>
      </c>
    </row>
    <row r="49" spans="1:110" s="13" customFormat="1" ht="13.5" customHeight="1" x14ac:dyDescent="0.3">
      <c r="A49" s="256"/>
      <c r="B49" s="257"/>
      <c r="C49" s="257"/>
      <c r="D49" s="257"/>
      <c r="E49" s="257"/>
      <c r="F49" s="257"/>
      <c r="G49" s="257"/>
      <c r="H49" s="257"/>
      <c r="I49" s="257"/>
      <c r="J49" s="257"/>
      <c r="K49" s="257"/>
      <c r="L49" s="257"/>
      <c r="M49" s="257"/>
      <c r="N49" s="257"/>
      <c r="O49" s="257"/>
      <c r="P49" s="257"/>
      <c r="Q49" s="257"/>
      <c r="R49" s="257"/>
      <c r="S49" s="257"/>
      <c r="T49" s="257"/>
      <c r="U49" s="257"/>
      <c r="V49" s="257"/>
      <c r="W49" s="257"/>
      <c r="X49" s="257"/>
      <c r="Y49" s="257"/>
      <c r="Z49" s="257"/>
      <c r="AA49" s="257"/>
      <c r="AB49" s="257"/>
      <c r="AC49" s="257"/>
      <c r="AD49" s="257"/>
      <c r="AE49" s="257"/>
      <c r="AF49" s="257"/>
      <c r="AG49" s="257"/>
      <c r="AH49" s="257"/>
      <c r="AI49" s="257"/>
      <c r="AJ49" s="257"/>
      <c r="AK49" s="257"/>
      <c r="AL49" s="257"/>
      <c r="AM49" s="257"/>
      <c r="AN49" s="257"/>
      <c r="AO49" s="257"/>
      <c r="AP49" s="257"/>
      <c r="AQ49" s="257"/>
      <c r="AR49" s="257"/>
      <c r="AS49" s="257"/>
      <c r="AT49" s="257"/>
      <c r="AU49" s="257"/>
      <c r="AV49" s="257"/>
      <c r="AW49" s="257"/>
      <c r="AX49" s="257"/>
      <c r="AY49" s="257"/>
      <c r="AZ49" s="257"/>
      <c r="BA49" s="257"/>
      <c r="BB49" s="257"/>
      <c r="BC49" s="257"/>
      <c r="BD49" s="257"/>
      <c r="BE49" s="257"/>
      <c r="BF49" s="257"/>
      <c r="BG49" s="257"/>
      <c r="BH49" s="257"/>
      <c r="BI49" s="257"/>
      <c r="BJ49" s="257"/>
      <c r="BK49" s="257"/>
      <c r="BL49" s="257"/>
      <c r="BM49" s="257"/>
      <c r="BN49" s="257"/>
      <c r="BO49" s="257"/>
      <c r="BP49" s="257"/>
      <c r="BQ49" s="257"/>
      <c r="BR49" s="257"/>
      <c r="BS49" s="257"/>
      <c r="BT49" s="257"/>
      <c r="BU49" s="257"/>
      <c r="BV49" s="257"/>
      <c r="BW49" s="257"/>
      <c r="BX49" s="257"/>
      <c r="BY49" s="257"/>
      <c r="BZ49" s="257"/>
      <c r="CA49" s="257"/>
      <c r="CB49" s="257"/>
      <c r="CC49" s="257"/>
      <c r="CD49" s="257"/>
      <c r="CE49" s="257"/>
      <c r="CF49" s="257"/>
      <c r="CG49" s="257"/>
      <c r="CH49" s="257"/>
      <c r="CI49" s="257"/>
      <c r="CJ49" s="257"/>
      <c r="CK49" s="257"/>
      <c r="CL49" s="257"/>
      <c r="CM49" s="257"/>
      <c r="CN49" s="257"/>
      <c r="CO49" s="257"/>
      <c r="CP49" s="257"/>
      <c r="CQ49" s="257"/>
      <c r="CR49" s="257"/>
      <c r="CS49" s="257"/>
      <c r="CT49" s="257"/>
      <c r="CU49" s="257"/>
      <c r="CV49" s="257"/>
      <c r="CW49" s="257"/>
      <c r="CX49" s="257"/>
      <c r="CY49" s="257"/>
      <c r="CZ49" s="257"/>
      <c r="DA49" s="257"/>
      <c r="DB49" s="257"/>
      <c r="DC49" s="257"/>
      <c r="DD49" s="257"/>
      <c r="DE49" s="11" t="s">
        <v>660</v>
      </c>
      <c r="DF49" s="2">
        <f t="shared" si="0"/>
        <v>28</v>
      </c>
    </row>
    <row r="50" spans="1:110" ht="13.5" customHeight="1" x14ac:dyDescent="0.3">
      <c r="A50" s="256"/>
      <c r="B50" s="257"/>
      <c r="C50" s="257"/>
      <c r="D50" s="257"/>
      <c r="E50" s="257"/>
      <c r="F50" s="257"/>
      <c r="G50" s="257"/>
      <c r="H50" s="257"/>
      <c r="I50" s="257"/>
      <c r="J50" s="257"/>
      <c r="K50" s="257"/>
      <c r="L50" s="257"/>
      <c r="M50" s="257"/>
      <c r="N50" s="257"/>
      <c r="O50" s="257"/>
      <c r="P50" s="257"/>
      <c r="Q50" s="257"/>
      <c r="R50" s="257"/>
      <c r="S50" s="257"/>
      <c r="T50" s="257"/>
      <c r="U50" s="257"/>
      <c r="V50" s="257"/>
      <c r="W50" s="257"/>
      <c r="X50" s="257"/>
      <c r="Y50" s="257"/>
      <c r="Z50" s="257"/>
      <c r="AA50" s="257"/>
      <c r="AB50" s="257"/>
      <c r="AC50" s="257"/>
      <c r="AD50" s="257"/>
      <c r="AE50" s="257"/>
      <c r="AF50" s="257"/>
      <c r="AG50" s="257"/>
      <c r="AH50" s="257"/>
      <c r="AI50" s="257"/>
      <c r="AJ50" s="257"/>
      <c r="AK50" s="257"/>
      <c r="AL50" s="257"/>
      <c r="AM50" s="257"/>
      <c r="AN50" s="257"/>
      <c r="AO50" s="257"/>
      <c r="AP50" s="257"/>
      <c r="AQ50" s="257"/>
      <c r="AR50" s="257"/>
      <c r="AS50" s="257"/>
      <c r="AT50" s="257"/>
      <c r="AU50" s="257"/>
      <c r="AV50" s="257"/>
      <c r="AW50" s="257"/>
      <c r="AX50" s="257"/>
      <c r="AY50" s="257"/>
      <c r="AZ50" s="257"/>
      <c r="BA50" s="257"/>
      <c r="BB50" s="257"/>
      <c r="BC50" s="257"/>
      <c r="BD50" s="257"/>
      <c r="BE50" s="257"/>
      <c r="BF50" s="257"/>
      <c r="BG50" s="257"/>
      <c r="BH50" s="257"/>
      <c r="BI50" s="257"/>
      <c r="BJ50" s="257"/>
      <c r="BK50" s="257"/>
      <c r="BL50" s="257"/>
      <c r="BM50" s="257"/>
      <c r="BN50" s="257"/>
      <c r="BO50" s="257"/>
      <c r="BP50" s="257"/>
      <c r="BQ50" s="257"/>
      <c r="BR50" s="257"/>
      <c r="BS50" s="257"/>
      <c r="BT50" s="257"/>
      <c r="BU50" s="257"/>
      <c r="BV50" s="257"/>
      <c r="BW50" s="257"/>
      <c r="BX50" s="257"/>
      <c r="BY50" s="257"/>
      <c r="BZ50" s="257"/>
      <c r="CA50" s="257"/>
      <c r="CB50" s="257"/>
      <c r="CC50" s="257"/>
      <c r="CD50" s="257"/>
      <c r="CE50" s="257"/>
      <c r="CF50" s="257"/>
      <c r="CG50" s="257"/>
      <c r="CH50" s="257"/>
      <c r="CI50" s="257"/>
      <c r="CJ50" s="257"/>
      <c r="CK50" s="257"/>
      <c r="CL50" s="257"/>
      <c r="CM50" s="257"/>
      <c r="CN50" s="257"/>
      <c r="CO50" s="257"/>
      <c r="CP50" s="257"/>
      <c r="CQ50" s="257"/>
      <c r="CR50" s="257"/>
      <c r="CS50" s="257"/>
      <c r="CT50" s="257"/>
      <c r="CU50" s="257"/>
      <c r="CV50" s="257"/>
      <c r="CW50" s="257"/>
      <c r="CX50" s="257"/>
      <c r="CY50" s="257"/>
      <c r="CZ50" s="257"/>
      <c r="DA50" s="257"/>
      <c r="DB50" s="257"/>
      <c r="DC50" s="257"/>
      <c r="DD50" s="257"/>
      <c r="DE50" s="11" t="s">
        <v>660</v>
      </c>
      <c r="DF50" s="2">
        <f t="shared" si="0"/>
        <v>29</v>
      </c>
    </row>
    <row r="51" spans="1:110" ht="13.5" customHeight="1" x14ac:dyDescent="0.3">
      <c r="A51" s="256"/>
      <c r="B51" s="257"/>
      <c r="C51" s="257"/>
      <c r="D51" s="257"/>
      <c r="E51" s="257"/>
      <c r="F51" s="257"/>
      <c r="G51" s="257"/>
      <c r="H51" s="257"/>
      <c r="I51" s="257"/>
      <c r="J51" s="257"/>
      <c r="K51" s="257"/>
      <c r="L51" s="257"/>
      <c r="M51" s="257"/>
      <c r="N51" s="257"/>
      <c r="O51" s="257"/>
      <c r="P51" s="257"/>
      <c r="Q51" s="257"/>
      <c r="R51" s="257"/>
      <c r="S51" s="257"/>
      <c r="T51" s="257"/>
      <c r="U51" s="257"/>
      <c r="V51" s="257"/>
      <c r="W51" s="257"/>
      <c r="X51" s="257"/>
      <c r="Y51" s="257"/>
      <c r="Z51" s="257"/>
      <c r="AA51" s="257"/>
      <c r="AB51" s="257"/>
      <c r="AC51" s="257"/>
      <c r="AD51" s="257"/>
      <c r="AE51" s="257"/>
      <c r="AF51" s="257"/>
      <c r="AG51" s="257"/>
      <c r="AH51" s="257"/>
      <c r="AI51" s="257"/>
      <c r="AJ51" s="257"/>
      <c r="AK51" s="257"/>
      <c r="AL51" s="257"/>
      <c r="AM51" s="257"/>
      <c r="AN51" s="257"/>
      <c r="AO51" s="257"/>
      <c r="AP51" s="257"/>
      <c r="AQ51" s="257"/>
      <c r="AR51" s="257"/>
      <c r="AS51" s="257"/>
      <c r="AT51" s="257"/>
      <c r="AU51" s="257"/>
      <c r="AV51" s="257"/>
      <c r="AW51" s="257"/>
      <c r="AX51" s="257"/>
      <c r="AY51" s="257"/>
      <c r="AZ51" s="257"/>
      <c r="BA51" s="257"/>
      <c r="BB51" s="257"/>
      <c r="BC51" s="257"/>
      <c r="BD51" s="257"/>
      <c r="BE51" s="257"/>
      <c r="BF51" s="257"/>
      <c r="BG51" s="257"/>
      <c r="BH51" s="257"/>
      <c r="BI51" s="257"/>
      <c r="BJ51" s="257"/>
      <c r="BK51" s="257"/>
      <c r="BL51" s="257"/>
      <c r="BM51" s="257"/>
      <c r="BN51" s="257"/>
      <c r="BO51" s="257"/>
      <c r="BP51" s="257"/>
      <c r="BQ51" s="257"/>
      <c r="BR51" s="257"/>
      <c r="BS51" s="257"/>
      <c r="BT51" s="257"/>
      <c r="BU51" s="257"/>
      <c r="BV51" s="257"/>
      <c r="BW51" s="257"/>
      <c r="BX51" s="257"/>
      <c r="BY51" s="257"/>
      <c r="BZ51" s="257"/>
      <c r="CA51" s="257"/>
      <c r="CB51" s="257"/>
      <c r="CC51" s="257"/>
      <c r="CD51" s="257"/>
      <c r="CE51" s="257"/>
      <c r="CF51" s="257"/>
      <c r="CG51" s="257"/>
      <c r="CH51" s="257"/>
      <c r="CI51" s="257"/>
      <c r="CJ51" s="257"/>
      <c r="CK51" s="257"/>
      <c r="CL51" s="257"/>
      <c r="CM51" s="257"/>
      <c r="CN51" s="257"/>
      <c r="CO51" s="257"/>
      <c r="CP51" s="257"/>
      <c r="CQ51" s="257"/>
      <c r="CR51" s="257"/>
      <c r="CS51" s="257"/>
      <c r="CT51" s="257"/>
      <c r="CU51" s="257"/>
      <c r="CV51" s="257"/>
      <c r="CW51" s="257"/>
      <c r="CX51" s="257"/>
      <c r="CY51" s="257"/>
      <c r="CZ51" s="257"/>
      <c r="DA51" s="257"/>
      <c r="DB51" s="257"/>
      <c r="DC51" s="257"/>
      <c r="DD51" s="257"/>
      <c r="DE51" s="11" t="s">
        <v>660</v>
      </c>
      <c r="DF51" s="2">
        <f t="shared" si="0"/>
        <v>30</v>
      </c>
    </row>
    <row r="52" spans="1:110" ht="13.5" customHeight="1" x14ac:dyDescent="0.3">
      <c r="A52" s="256"/>
      <c r="B52" s="257"/>
      <c r="C52" s="257"/>
      <c r="D52" s="257"/>
      <c r="E52" s="257"/>
      <c r="F52" s="257"/>
      <c r="G52" s="257"/>
      <c r="H52" s="257"/>
      <c r="I52" s="257"/>
      <c r="J52" s="257"/>
      <c r="K52" s="257"/>
      <c r="L52" s="257"/>
      <c r="M52" s="257"/>
      <c r="N52" s="257"/>
      <c r="O52" s="257"/>
      <c r="P52" s="257"/>
      <c r="Q52" s="257"/>
      <c r="R52" s="257"/>
      <c r="S52" s="257"/>
      <c r="T52" s="257"/>
      <c r="U52" s="257"/>
      <c r="V52" s="257"/>
      <c r="W52" s="257"/>
      <c r="X52" s="257"/>
      <c r="Y52" s="257"/>
      <c r="Z52" s="257"/>
      <c r="AA52" s="257"/>
      <c r="AB52" s="257"/>
      <c r="AC52" s="257"/>
      <c r="AD52" s="257"/>
      <c r="AE52" s="257"/>
      <c r="AF52" s="257"/>
      <c r="AG52" s="257"/>
      <c r="AH52" s="257"/>
      <c r="AI52" s="257"/>
      <c r="AJ52" s="257"/>
      <c r="AK52" s="257"/>
      <c r="AL52" s="257"/>
      <c r="AM52" s="257"/>
      <c r="AN52" s="257"/>
      <c r="AO52" s="257"/>
      <c r="AP52" s="257"/>
      <c r="AQ52" s="257"/>
      <c r="AR52" s="257"/>
      <c r="AS52" s="257"/>
      <c r="AT52" s="257"/>
      <c r="AU52" s="257"/>
      <c r="AV52" s="257"/>
      <c r="AW52" s="257"/>
      <c r="AX52" s="257"/>
      <c r="AY52" s="257"/>
      <c r="AZ52" s="257"/>
      <c r="BA52" s="257"/>
      <c r="BB52" s="257"/>
      <c r="BC52" s="257"/>
      <c r="BD52" s="257"/>
      <c r="BE52" s="257"/>
      <c r="BF52" s="257"/>
      <c r="BG52" s="257"/>
      <c r="BH52" s="257"/>
      <c r="BI52" s="257"/>
      <c r="BJ52" s="257"/>
      <c r="BK52" s="257"/>
      <c r="BL52" s="257"/>
      <c r="BM52" s="257"/>
      <c r="BN52" s="257"/>
      <c r="BO52" s="257"/>
      <c r="BP52" s="257"/>
      <c r="BQ52" s="257"/>
      <c r="BR52" s="257"/>
      <c r="BS52" s="257"/>
      <c r="BT52" s="257"/>
      <c r="BU52" s="257"/>
      <c r="BV52" s="257"/>
      <c r="BW52" s="257"/>
      <c r="BX52" s="257"/>
      <c r="BY52" s="257"/>
      <c r="BZ52" s="257"/>
      <c r="CA52" s="257"/>
      <c r="CB52" s="257"/>
      <c r="CC52" s="257"/>
      <c r="CD52" s="257"/>
      <c r="CE52" s="257"/>
      <c r="CF52" s="257"/>
      <c r="CG52" s="257"/>
      <c r="CH52" s="257"/>
      <c r="CI52" s="257"/>
      <c r="CJ52" s="257"/>
      <c r="CK52" s="257"/>
      <c r="CL52" s="257"/>
      <c r="CM52" s="257"/>
      <c r="CN52" s="257"/>
      <c r="CO52" s="257"/>
      <c r="CP52" s="257"/>
      <c r="CQ52" s="257"/>
      <c r="CR52" s="257"/>
      <c r="CS52" s="257"/>
      <c r="CT52" s="257"/>
      <c r="CU52" s="257"/>
      <c r="CV52" s="257"/>
      <c r="CW52" s="257"/>
      <c r="CX52" s="257"/>
      <c r="CY52" s="257"/>
      <c r="CZ52" s="257"/>
      <c r="DA52" s="257"/>
      <c r="DB52" s="257"/>
      <c r="DC52" s="257"/>
      <c r="DD52" s="257"/>
      <c r="DE52" s="11" t="s">
        <v>660</v>
      </c>
      <c r="DF52" s="2">
        <f t="shared" si="0"/>
        <v>31</v>
      </c>
    </row>
    <row r="53" spans="1:110" ht="35.25" customHeight="1" x14ac:dyDescent="0.25">
      <c r="A53" s="316" t="str">
        <f>IF(OR(ПОКАЗАТЕЛИ!O1="Детсад",ПОКАЗАТЕЛИ!O1="Школа",ПОКАЗАТЕЛИ!O1="Допобр",ПОКАЗАТЕЛИ!O1="МХШ",ПОКАЗАТЕЛИ!O1="ЦБС",ПОКАЗАТЕЛИ!O1="культура"),"Согласовано","Согласовано")</f>
        <v>Согласовано</v>
      </c>
      <c r="B53" s="291"/>
      <c r="C53" s="291"/>
      <c r="D53" s="291"/>
      <c r="E53" s="291"/>
      <c r="F53" s="291"/>
      <c r="G53" s="291"/>
      <c r="H53" s="291"/>
      <c r="I53" s="291"/>
      <c r="J53" s="291"/>
      <c r="K53" s="291"/>
      <c r="L53" s="291"/>
      <c r="M53" s="291"/>
      <c r="N53" s="291"/>
      <c r="O53" s="333" t="str">
        <f>IF(OR(ПОКАЗАТЕЛИ!O1="Детсад",ПОКАЗАТЕЛИ!O1="Школа",ПОКАЗАТЕЛИ!O1="Допобр",ПОКАЗАТЕЛИ!O1="МХШ",ПОКАЗАТЕЛИ!O1="ЦБС",ПОКАЗАТЕЛИ!O1="культура"),INDEX(УЧРЕЖДЕНИЯ!F3:F12,MATCH((INDEX(УЧРЕЖДЕНИЯ!A14:A53,MATCH(ТИТУЛ!CO20,УЧРЕЖДЕНИЯ!C14:C53,0))),УЧРЕЖДЕНИЯ!A3:A12,0)),INDEX(УЧРЕЖДЕНИЯ!H3:H12,MATCH((INDEX(УЧРЕЖДЕНИЯ!A14:A53,MATCH(ТИТУЛ!CO20,УЧРЕЖДЕНИЯ!C14:C53,0))),УЧРЕЖДЕНИЯ!A3:A12,0)))</f>
        <v>Начальник сектора по бухгалтерскому учету и отчетности</v>
      </c>
      <c r="P53" s="291"/>
      <c r="Q53" s="291"/>
      <c r="R53" s="291"/>
      <c r="S53" s="291"/>
      <c r="T53" s="291"/>
      <c r="U53" s="291"/>
      <c r="V53" s="291"/>
      <c r="W53" s="291"/>
      <c r="X53" s="291"/>
      <c r="Y53" s="291"/>
      <c r="Z53" s="291"/>
      <c r="AA53" s="291"/>
      <c r="AB53" s="291"/>
      <c r="AC53" s="291"/>
      <c r="AD53" s="291"/>
      <c r="AE53" s="291"/>
      <c r="AF53" s="291"/>
      <c r="AG53" s="291"/>
      <c r="AH53" s="291"/>
      <c r="AI53" s="291"/>
      <c r="AJ53" s="291"/>
      <c r="AK53" s="291"/>
      <c r="AL53" s="291"/>
      <c r="AM53" s="291"/>
      <c r="AN53" s="291"/>
      <c r="AO53" s="291"/>
      <c r="AP53" s="291"/>
      <c r="AQ53" s="291"/>
      <c r="AR53" s="291"/>
      <c r="AS53" s="291"/>
      <c r="AT53" s="291"/>
      <c r="AU53" s="291"/>
      <c r="AV53" s="291"/>
      <c r="AW53" s="291"/>
      <c r="AX53" s="291"/>
      <c r="AY53" s="335" t="str">
        <f>IF(A8="НЕ ВЕРНЫЙ","НЕТ ПОДПИСИ","")</f>
        <v/>
      </c>
      <c r="AZ53" s="335"/>
      <c r="BA53" s="335"/>
      <c r="BB53" s="335"/>
      <c r="BC53" s="335"/>
      <c r="BD53" s="335"/>
      <c r="BE53" s="335"/>
      <c r="BF53" s="335"/>
      <c r="BG53" s="335"/>
      <c r="BH53" s="335"/>
      <c r="BI53" s="335"/>
      <c r="BJ53" s="335"/>
      <c r="BK53" s="335"/>
      <c r="BL53" s="335"/>
      <c r="BM53" s="335"/>
      <c r="BN53" s="335"/>
      <c r="BO53" s="335"/>
      <c r="BP53" s="335"/>
      <c r="BQ53" s="335"/>
      <c r="BR53" s="335"/>
      <c r="BS53" s="335"/>
      <c r="BT53" s="335"/>
      <c r="BU53" s="335"/>
      <c r="BV53" s="334" t="str">
        <f>IF(OR(ПОКАЗАТЕЛИ!O1="Детсад",ПОКАЗАТЕЛИ!O1="Школа",ПОКАЗАТЕЛИ!O1="Допобр",ПОКАЗАТЕЛИ!O1="МХШ",ПОКАЗАТЕЛИ!O1="ЦБС",ПОКАЗАТЕЛИ!O1="культура"),INDEX(УЧРЕЖДЕНИЯ!G3:G12,MATCH((INDEX(УЧРЕЖДЕНИЯ!A14:A53,MATCH(ТИТУЛ!CO20,УЧРЕЖДЕНИЯ!C14:C53,0))),УЧРЕЖДЕНИЯ!A3:A12,0)),INDEX(УЧРЕЖДЕНИЯ!I3:I12,MATCH((INDEX(УЧРЕЖДЕНИЯ!A14:A53,MATCH(ТИТУЛ!CO20,УЧРЕЖДЕНИЯ!C14:C53,0))),УЧРЕЖДЕНИЯ!A3:A12,0)))</f>
        <v>Лопатина Елена Сергеевна</v>
      </c>
      <c r="BW53" s="291"/>
      <c r="BX53" s="291"/>
      <c r="BY53" s="291"/>
      <c r="BZ53" s="291"/>
      <c r="CA53" s="291"/>
      <c r="CB53" s="291"/>
      <c r="CC53" s="291"/>
      <c r="CD53" s="291"/>
      <c r="CE53" s="291"/>
      <c r="CF53" s="291"/>
      <c r="CG53" s="291"/>
      <c r="CH53" s="291"/>
      <c r="CI53" s="291"/>
      <c r="CJ53" s="291"/>
      <c r="CK53" s="291"/>
      <c r="CL53" s="291"/>
      <c r="CM53" s="291"/>
      <c r="CN53" s="291"/>
      <c r="CO53" s="291"/>
      <c r="CP53" s="291"/>
      <c r="CQ53" s="291"/>
      <c r="CR53" s="291"/>
      <c r="CS53" s="291"/>
      <c r="CT53" s="291"/>
      <c r="CU53" s="291"/>
      <c r="CV53" s="291"/>
      <c r="CW53" s="291"/>
      <c r="CX53" s="291"/>
      <c r="CY53" s="291"/>
      <c r="CZ53" s="291"/>
      <c r="DA53" s="291"/>
      <c r="DB53" s="291"/>
      <c r="DC53" s="291"/>
      <c r="DD53" s="291"/>
      <c r="DE53" s="11" t="s">
        <v>660</v>
      </c>
      <c r="DF53" s="2">
        <f t="shared" si="0"/>
        <v>32</v>
      </c>
    </row>
    <row r="54" spans="1:110" ht="35.25" customHeight="1" x14ac:dyDescent="0.25">
      <c r="A54" s="316" t="str">
        <f>IF(OR(ПОКАЗАТЕЛИ!O1="Детсад",ПОКАЗАТЕЛИ!O1="Школа",ПОКАЗАТЕЛИ!O1="Допобр",ПОКАЗАТЕЛИ!O1="МХШ",ПОКАЗАТЕЛИ!O1="ЦБС",ПОКАЗАТЕЛИ!O1="культура"),"Согласовано","")</f>
        <v/>
      </c>
      <c r="B54" s="291"/>
      <c r="C54" s="291"/>
      <c r="D54" s="291"/>
      <c r="E54" s="291"/>
      <c r="F54" s="291"/>
      <c r="G54" s="291"/>
      <c r="H54" s="291"/>
      <c r="I54" s="291"/>
      <c r="J54" s="291"/>
      <c r="K54" s="291"/>
      <c r="L54" s="291"/>
      <c r="M54" s="291"/>
      <c r="N54" s="291"/>
      <c r="O54" s="317" t="str">
        <f>IF(OR(ПОКАЗАТЕЛИ!O1="Детсад",ПОКАЗАТЕЛИ!O1="Школа",ПОКАЗАТЕЛИ!O1="Допобр",ПОКАЗАТЕЛИ!O1="МХШ",ПОКАЗАТЕЛИ!O1="ЦБС",ПОКАЗАТЕЛИ!O1="культура"),INDEX(УЧРЕЖДЕНИЯ!H3:H12,MATCH((INDEX(УЧРЕЖДЕНИЯ!A14:A53,MATCH(ТИТУЛ!CO20,УЧРЕЖДЕНИЯ!C14:C53,0))),УЧРЕЖДЕНИЯ!A3:A12,0)),"")</f>
        <v/>
      </c>
      <c r="P54" s="291"/>
      <c r="Q54" s="291"/>
      <c r="R54" s="291"/>
      <c r="S54" s="291"/>
      <c r="T54" s="291"/>
      <c r="U54" s="291"/>
      <c r="V54" s="291"/>
      <c r="W54" s="291"/>
      <c r="X54" s="291"/>
      <c r="Y54" s="291"/>
      <c r="Z54" s="291"/>
      <c r="AA54" s="291"/>
      <c r="AB54" s="291"/>
      <c r="AC54" s="291"/>
      <c r="AD54" s="291"/>
      <c r="AE54" s="291"/>
      <c r="AF54" s="291"/>
      <c r="AG54" s="291"/>
      <c r="AH54" s="291"/>
      <c r="AI54" s="291"/>
      <c r="AJ54" s="291"/>
      <c r="AK54" s="291"/>
      <c r="AL54" s="291"/>
      <c r="AM54" s="291"/>
      <c r="AN54" s="291"/>
      <c r="AO54" s="291"/>
      <c r="AP54" s="291"/>
      <c r="AQ54" s="291"/>
      <c r="AR54" s="291"/>
      <c r="AS54" s="291"/>
      <c r="AT54" s="291"/>
      <c r="AU54" s="291"/>
      <c r="AV54" s="291"/>
      <c r="AW54" s="291"/>
      <c r="AX54" s="291"/>
      <c r="AY54" s="342" t="str">
        <f>IF(AND(A8="НЕ ВЕРНЫЙ",A54="Согласовано"),"НЕТ ПОДПИСИ","")</f>
        <v/>
      </c>
      <c r="AZ54" s="342"/>
      <c r="BA54" s="342"/>
      <c r="BB54" s="342"/>
      <c r="BC54" s="342"/>
      <c r="BD54" s="342"/>
      <c r="BE54" s="342"/>
      <c r="BF54" s="342"/>
      <c r="BG54" s="342"/>
      <c r="BH54" s="342"/>
      <c r="BI54" s="342"/>
      <c r="BJ54" s="342"/>
      <c r="BK54" s="342"/>
      <c r="BL54" s="342"/>
      <c r="BM54" s="342"/>
      <c r="BN54" s="342"/>
      <c r="BO54" s="342"/>
      <c r="BP54" s="342"/>
      <c r="BQ54" s="342"/>
      <c r="BR54" s="342"/>
      <c r="BS54" s="342"/>
      <c r="BT54" s="342"/>
      <c r="BU54" s="342"/>
      <c r="BV54" s="317" t="str">
        <f>IF(OR(ПОКАЗАТЕЛИ!O1="Детсад",ПОКАЗАТЕЛИ!O1="Школа",ПОКАЗАТЕЛИ!O1="Допобр",ПОКАЗАТЕЛИ!O1="МХШ",ПОКАЗАТЕЛИ!O1="ЦБС",ПОКАЗАТЕЛИ!O1="культура"),INDEX(УЧРЕЖДЕНИЯ!I3:I12,MATCH((INDEX(УЧРЕЖДЕНИЯ!A14:A53,MATCH(ТИТУЛ!CO20,УЧРЕЖДЕНИЯ!C14:C53,0))),УЧРЕЖДЕНИЯ!A3:A12,0)),"")</f>
        <v/>
      </c>
      <c r="BW54" s="291"/>
      <c r="BX54" s="291"/>
      <c r="BY54" s="291"/>
      <c r="BZ54" s="291"/>
      <c r="CA54" s="291"/>
      <c r="CB54" s="291"/>
      <c r="CC54" s="291"/>
      <c r="CD54" s="291"/>
      <c r="CE54" s="291"/>
      <c r="CF54" s="291"/>
      <c r="CG54" s="291"/>
      <c r="CH54" s="291"/>
      <c r="CI54" s="291"/>
      <c r="CJ54" s="291"/>
      <c r="CK54" s="291"/>
      <c r="CL54" s="291"/>
      <c r="CM54" s="291"/>
      <c r="CN54" s="291"/>
      <c r="CO54" s="291"/>
      <c r="CP54" s="291"/>
      <c r="CQ54" s="291"/>
      <c r="CR54" s="291"/>
      <c r="CS54" s="291"/>
      <c r="CT54" s="291"/>
      <c r="CU54" s="291"/>
      <c r="CV54" s="291"/>
      <c r="CW54" s="291"/>
      <c r="CX54" s="291"/>
      <c r="CY54" s="291"/>
      <c r="CZ54" s="291"/>
      <c r="DA54" s="291"/>
      <c r="DB54" s="291"/>
      <c r="DC54" s="291"/>
      <c r="DD54" s="291"/>
      <c r="DE54" s="11" t="s">
        <v>660</v>
      </c>
      <c r="DF54" s="2">
        <f t="shared" si="0"/>
        <v>33</v>
      </c>
    </row>
    <row r="55" spans="1:110" x14ac:dyDescent="0.25">
      <c r="DE55" s="11" t="s">
        <v>660</v>
      </c>
      <c r="DF55" s="2">
        <f t="shared" ref="DF55" si="1">DF54+1</f>
        <v>34</v>
      </c>
    </row>
    <row r="56" spans="1:110" ht="13.5" customHeight="1" x14ac:dyDescent="0.3">
      <c r="A56" s="332"/>
      <c r="B56" s="332"/>
      <c r="C56" s="332"/>
      <c r="D56" s="332"/>
      <c r="E56" s="332"/>
      <c r="F56" s="332"/>
      <c r="G56" s="332"/>
      <c r="H56" s="332"/>
      <c r="I56" s="332"/>
      <c r="J56" s="332"/>
      <c r="K56" s="332"/>
      <c r="L56" s="332"/>
      <c r="M56" s="332"/>
      <c r="N56" s="332"/>
      <c r="O56" s="317"/>
      <c r="P56" s="292"/>
      <c r="Q56" s="292"/>
      <c r="R56" s="292"/>
      <c r="S56" s="292"/>
      <c r="T56" s="292"/>
      <c r="U56" s="292"/>
      <c r="V56" s="292"/>
      <c r="W56" s="292"/>
      <c r="X56" s="292"/>
      <c r="Y56" s="292"/>
      <c r="Z56" s="292"/>
      <c r="AA56" s="292"/>
      <c r="AB56" s="292"/>
      <c r="AC56" s="292"/>
      <c r="AD56" s="292"/>
      <c r="AE56" s="292"/>
      <c r="AF56" s="292"/>
      <c r="AG56" s="292"/>
      <c r="AH56" s="292"/>
      <c r="AI56" s="292"/>
      <c r="AJ56" s="292"/>
      <c r="AK56" s="292"/>
      <c r="AL56" s="292"/>
      <c r="AM56" s="292"/>
      <c r="AN56" s="292"/>
      <c r="AO56" s="292"/>
      <c r="AP56" s="292"/>
      <c r="AQ56" s="292"/>
      <c r="AR56" s="292"/>
      <c r="AS56" s="292"/>
      <c r="AT56" s="292"/>
      <c r="AU56" s="292"/>
      <c r="AV56" s="292"/>
      <c r="AW56" s="292"/>
      <c r="AX56" s="292"/>
      <c r="AY56" s="337"/>
      <c r="AZ56" s="343"/>
      <c r="BA56" s="343"/>
      <c r="BB56" s="343"/>
      <c r="BC56" s="343"/>
      <c r="BD56" s="343"/>
      <c r="BE56" s="343"/>
      <c r="BF56" s="343"/>
      <c r="BG56" s="343"/>
      <c r="BH56" s="343"/>
      <c r="BI56" s="343"/>
      <c r="BJ56" s="343"/>
      <c r="BK56" s="343"/>
      <c r="BL56" s="343"/>
      <c r="BM56" s="343"/>
      <c r="BN56" s="343"/>
      <c r="BO56" s="343"/>
      <c r="BP56" s="343"/>
      <c r="BQ56" s="343"/>
      <c r="BR56" s="343"/>
      <c r="BS56" s="343"/>
      <c r="BT56" s="343"/>
      <c r="BU56" s="343"/>
      <c r="BV56" s="317"/>
      <c r="BW56" s="296"/>
      <c r="BX56" s="296"/>
      <c r="BY56" s="296"/>
      <c r="BZ56" s="296"/>
      <c r="CA56" s="296"/>
      <c r="CB56" s="296"/>
      <c r="CC56" s="296"/>
      <c r="CD56" s="296"/>
      <c r="CE56" s="296"/>
      <c r="CF56" s="296"/>
      <c r="CG56" s="296"/>
      <c r="CH56" s="296"/>
      <c r="CI56" s="296"/>
      <c r="CJ56" s="296"/>
      <c r="CK56" s="296"/>
      <c r="CL56" s="296"/>
      <c r="CM56" s="296"/>
      <c r="CN56" s="296"/>
      <c r="CO56" s="296"/>
      <c r="CP56" s="296"/>
      <c r="CQ56" s="296"/>
      <c r="CR56" s="296"/>
      <c r="CS56" s="296"/>
      <c r="CT56" s="296"/>
      <c r="CU56" s="296"/>
      <c r="CV56" s="296"/>
      <c r="CW56" s="296"/>
      <c r="CX56" s="296"/>
      <c r="CY56" s="296"/>
      <c r="CZ56" s="296"/>
      <c r="DA56" s="296"/>
      <c r="DB56" s="296"/>
      <c r="DC56" s="296"/>
      <c r="DD56" s="296"/>
      <c r="DE56" s="11"/>
    </row>
  </sheetData>
  <sheetProtection password="E80F" sheet="1" objects="1" scenarios="1" formatCells="0" formatColumns="0" formatRows="0" insertColumns="0" insertRows="0" insertHyperlinks="0" deleteColumns="0" deleteRows="0" sort="0" autoFilter="0" pivotTables="0"/>
  <scenarios current="0">
    <scenario name="0" locked="1" count="1" user="Михайлов Андрей Сергеевич" comment="Автор: Михайлов Андрей Сергеевич , 02.12.2020">
      <inputCells r="CO22" val="1"/>
    </scenario>
  </scenarios>
  <dataConsolidate/>
  <mergeCells count="106">
    <mergeCell ref="DE16:DF16"/>
    <mergeCell ref="DE19:DF19"/>
    <mergeCell ref="DE7:DJ7"/>
    <mergeCell ref="BV54:DD54"/>
    <mergeCell ref="AY54:BU54"/>
    <mergeCell ref="AY56:BU56"/>
    <mergeCell ref="O56:AX56"/>
    <mergeCell ref="A52:DD52"/>
    <mergeCell ref="A33:DD33"/>
    <mergeCell ref="A29:DD29"/>
    <mergeCell ref="A28:DD28"/>
    <mergeCell ref="A34:DD34"/>
    <mergeCell ref="A35:DD35"/>
    <mergeCell ref="A36:DD36"/>
    <mergeCell ref="A37:DD37"/>
    <mergeCell ref="A38:DD38"/>
    <mergeCell ref="A39:DD39"/>
    <mergeCell ref="T7:U7"/>
    <mergeCell ref="V7:AJ7"/>
    <mergeCell ref="A14:DD14"/>
    <mergeCell ref="A8:DD12"/>
    <mergeCell ref="A13:DD13"/>
    <mergeCell ref="CB20:CN20"/>
    <mergeCell ref="CB17:CN17"/>
    <mergeCell ref="DE6:FD6"/>
    <mergeCell ref="DN7:DO7"/>
    <mergeCell ref="DP7:DS7"/>
    <mergeCell ref="CN7:CQ7"/>
    <mergeCell ref="A40:DD40"/>
    <mergeCell ref="A41:DD41"/>
    <mergeCell ref="A42:DD42"/>
    <mergeCell ref="A56:N56"/>
    <mergeCell ref="A43:DD43"/>
    <mergeCell ref="A44:DD44"/>
    <mergeCell ref="A45:DD45"/>
    <mergeCell ref="A46:DD46"/>
    <mergeCell ref="A47:DD47"/>
    <mergeCell ref="A48:DD48"/>
    <mergeCell ref="A49:DD49"/>
    <mergeCell ref="A50:DD50"/>
    <mergeCell ref="A51:DD51"/>
    <mergeCell ref="A53:N53"/>
    <mergeCell ref="O53:AX53"/>
    <mergeCell ref="BV53:DD53"/>
    <mergeCell ref="AY53:BU53"/>
    <mergeCell ref="O54:AX54"/>
    <mergeCell ref="BV56:DD56"/>
    <mergeCell ref="CK7:CM7"/>
    <mergeCell ref="DT7:DU7"/>
    <mergeCell ref="DV7:EJ7"/>
    <mergeCell ref="BZ6:DD6"/>
    <mergeCell ref="BE6:BX6"/>
    <mergeCell ref="A54:N54"/>
    <mergeCell ref="EU1:FD1"/>
    <mergeCell ref="EK1:ET1"/>
    <mergeCell ref="DE1:EJ1"/>
    <mergeCell ref="E3:BD5"/>
    <mergeCell ref="E1:BD1"/>
    <mergeCell ref="E2:BD2"/>
    <mergeCell ref="BE1:DD1"/>
    <mergeCell ref="BZ5:DD5"/>
    <mergeCell ref="DE2:FD2"/>
    <mergeCell ref="DE3:FD3"/>
    <mergeCell ref="DE4:FD5"/>
    <mergeCell ref="BE3:DD3"/>
    <mergeCell ref="BE4:DD4"/>
    <mergeCell ref="BE5:BX5"/>
    <mergeCell ref="EK7:EM7"/>
    <mergeCell ref="EN7:EQ7"/>
    <mergeCell ref="P7:S7"/>
    <mergeCell ref="N7:O7"/>
    <mergeCell ref="E6:BD6"/>
    <mergeCell ref="CO20:DD20"/>
    <mergeCell ref="CO16:DD16"/>
    <mergeCell ref="CO17:DD17"/>
    <mergeCell ref="CO19:DD19"/>
    <mergeCell ref="AK7:AQ7"/>
    <mergeCell ref="A15:DD15"/>
    <mergeCell ref="CO21:DD21"/>
    <mergeCell ref="BV22:CN22"/>
    <mergeCell ref="R22:BU22"/>
    <mergeCell ref="CB21:CN21"/>
    <mergeCell ref="CO22:DD22"/>
    <mergeCell ref="A22:Q22"/>
    <mergeCell ref="A19:O21"/>
    <mergeCell ref="P19:CA21"/>
    <mergeCell ref="CB18:CN18"/>
    <mergeCell ref="BN7:BO7"/>
    <mergeCell ref="BP7:BS7"/>
    <mergeCell ref="BT7:BU7"/>
    <mergeCell ref="BV7:CJ7"/>
    <mergeCell ref="CO18:DD18"/>
    <mergeCell ref="CB19:CN19"/>
    <mergeCell ref="A17:O18"/>
    <mergeCell ref="P17:CA18"/>
    <mergeCell ref="A30:DD30"/>
    <mergeCell ref="A31:DD31"/>
    <mergeCell ref="A32:DD32"/>
    <mergeCell ref="A27:DD27"/>
    <mergeCell ref="CO23:DD23"/>
    <mergeCell ref="AO24:DD24"/>
    <mergeCell ref="A24:AN24"/>
    <mergeCell ref="A25:DD25"/>
    <mergeCell ref="A26:DD26"/>
    <mergeCell ref="CB23:CN23"/>
    <mergeCell ref="A23:CA23"/>
  </mergeCells>
  <phoneticPr fontId="9" type="noConversion"/>
  <dataValidations count="3">
    <dataValidation type="list" allowBlank="1" showInputMessage="1" showErrorMessage="1" sqref="DE15">
      <formula1>INDIRECT("УЧРЕЖДЕНИЯ!E14:E53")</formula1>
    </dataValidation>
    <dataValidation type="list" allowBlank="1" showInputMessage="1" showErrorMessage="1" sqref="DF12">
      <formula1>DF20:DF55</formula1>
    </dataValidation>
    <dataValidation type="list" allowBlank="1" showInputMessage="1" showErrorMessage="1" sqref="DF11">
      <formula1>DE19:DE21</formula1>
    </dataValidation>
  </dataValidations>
  <printOptions horizontalCentered="1" verticalCentered="1"/>
  <pageMargins left="0.78740157480314965" right="0.39370078740157483" top="0.39370078740157483" bottom="0" header="0" footer="0"/>
  <pageSetup paperSize="9" scale="91" orientation="portrait" useFirstPageNumber="1" r:id="rId1"/>
  <headerFooter>
    <oddFooter>&amp;L&amp;T &amp;D&amp;Cверсия 210324&amp;R&amp;P из 12</oddFooter>
  </headerFooter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УЧРЕЖДЕНИЯ!$E$14:$E$53</xm:f>
          </x14:formula1>
          <xm:sqref>DE7:DJ7</xm:sqref>
        </x14:dataValidation>
        <x14:dataValidation type="list" allowBlank="1" showInputMessage="1" showErrorMessage="1">
          <x14:formula1>
            <xm:f>КБК!$K$4:$K$15</xm:f>
          </x14:formula1>
          <xm:sqref>DF9</xm:sqref>
        </x14:dataValidation>
        <x14:dataValidation type="list" allowBlank="1" showInputMessage="1" showErrorMessage="1">
          <x14:formula1>
            <xm:f>КБК!$L$4:$L$15</xm:f>
          </x14:formula1>
          <xm:sqref>DF10</xm:sqref>
        </x14:dataValidation>
        <x14:dataValidation type="list" allowBlank="1" showInputMessage="1" showErrorMessage="1">
          <x14:formula1>
            <xm:f>КБК!$J$4:$J$33</xm:f>
          </x14:formula1>
          <xm:sqref>DF8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>
    <tabColor rgb="FF00B050"/>
  </sheetPr>
  <dimension ref="A1:Q337"/>
  <sheetViews>
    <sheetView showZeros="0" view="pageBreakPreview" zoomScale="115" zoomScaleSheetLayoutView="115" workbookViewId="0">
      <pane xSplit="4" ySplit="5" topLeftCell="E151" activePane="bottomRight" state="frozen"/>
      <selection activeCell="A64" sqref="A64:B64"/>
      <selection pane="topRight" activeCell="A64" sqref="A64:B64"/>
      <selection pane="bottomLeft" activeCell="A64" sqref="A64:B64"/>
      <selection pane="bottomRight" activeCell="A302" sqref="A302:G303"/>
    </sheetView>
  </sheetViews>
  <sheetFormatPr defaultColWidth="9.109375" defaultRowHeight="12" customHeight="1" x14ac:dyDescent="0.3"/>
  <cols>
    <col min="1" max="1" width="28.5546875" style="31" customWidth="1"/>
    <col min="2" max="2" width="4.33203125" style="24" customWidth="1"/>
    <col min="3" max="3" width="3.44140625" style="24" customWidth="1"/>
    <col min="4" max="4" width="3.5546875" style="189" customWidth="1"/>
    <col min="5" max="5" width="4.44140625" style="24" customWidth="1"/>
    <col min="6" max="14" width="11.88671875" style="24" customWidth="1"/>
    <col min="15" max="15" width="16" style="24" customWidth="1"/>
    <col min="16" max="16" width="9.109375" style="23"/>
    <col min="17" max="17" width="9" style="24" customWidth="1"/>
    <col min="18" max="16384" width="9.109375" style="24"/>
  </cols>
  <sheetData>
    <row r="1" spans="1:17" ht="11.1" customHeight="1" thickBot="1" x14ac:dyDescent="0.35">
      <c r="A1" s="373" t="s">
        <v>282</v>
      </c>
      <c r="B1" s="374"/>
      <c r="C1" s="374"/>
      <c r="D1" s="374"/>
      <c r="E1" s="374"/>
      <c r="F1" s="374"/>
      <c r="G1" s="374"/>
      <c r="H1" s="374"/>
      <c r="I1" s="374"/>
      <c r="J1" s="374"/>
      <c r="K1" s="374"/>
      <c r="L1" s="374"/>
      <c r="M1" s="374"/>
      <c r="N1" s="374"/>
      <c r="O1" s="39" t="str">
        <f>INDEX(УЧРЕЖДЕНИЯ!A14:A53,MATCH(ТИТУЛ!CO20,УЧРЕЖДЕНИЯ!C14:C53,0))</f>
        <v>спорт</v>
      </c>
      <c r="P1" s="40"/>
      <c r="Q1" s="41" t="s">
        <v>316</v>
      </c>
    </row>
    <row r="2" spans="1:17" ht="9.75" customHeight="1" x14ac:dyDescent="0.3">
      <c r="A2" s="382" t="s">
        <v>0</v>
      </c>
      <c r="B2" s="362" t="s">
        <v>146</v>
      </c>
      <c r="C2" s="363"/>
      <c r="D2" s="363"/>
      <c r="E2" s="359" t="s">
        <v>651</v>
      </c>
      <c r="F2" s="393" t="s">
        <v>730</v>
      </c>
      <c r="G2" s="394"/>
      <c r="H2" s="395"/>
      <c r="I2" s="399" t="s">
        <v>731</v>
      </c>
      <c r="J2" s="397"/>
      <c r="K2" s="397"/>
      <c r="L2" s="382" t="s">
        <v>732</v>
      </c>
      <c r="M2" s="397"/>
      <c r="N2" s="397"/>
      <c r="O2" s="39" t="str">
        <f>IF(AND(F6+F21+L21+L6+F290+L290=F74+L74+F296+L296,G6+G21+M21+G290+M290=G74+M74,H6+H21+N21+H290+N290=H74+N74,F6+F21+F290=F74+F296,G6+G21+G290=G74,H6+H21+H290=H74,L6+L21+L290=L74+L296,M6+M21+M290=M74,N6+N21+N290=N74),"","НЕ ВЕРНО")</f>
        <v/>
      </c>
      <c r="P2" s="40" t="b">
        <f>AND(F6+F21+L21+L6=F74+L74)</f>
        <v>0</v>
      </c>
      <c r="Q2" s="42" t="s">
        <v>314</v>
      </c>
    </row>
    <row r="3" spans="1:17" ht="9.75" customHeight="1" x14ac:dyDescent="0.3">
      <c r="A3" s="382"/>
      <c r="B3" s="364"/>
      <c r="C3" s="365"/>
      <c r="D3" s="365"/>
      <c r="E3" s="360"/>
      <c r="F3" s="396"/>
      <c r="G3" s="397"/>
      <c r="H3" s="398"/>
      <c r="I3" s="400"/>
      <c r="J3" s="397"/>
      <c r="K3" s="397"/>
      <c r="L3" s="397"/>
      <c r="M3" s="397"/>
      <c r="N3" s="397"/>
      <c r="O3" s="39" t="str">
        <f>IF(AND(F21+G21+H21=0,F74+G74+H74=0,OR(F21&lt;&gt;0,G21&lt;&gt;0,H21&lt;&gt;0,F74&lt;&gt;0,G74&lt;&gt;0,H74&lt;&gt;0)),"",IF(AND(F21&gt;0,G21&gt;0,H21&gt;0,F74&gt;0,G74&gt;0,H74&gt;0,F21+F6+F290=F74+F296,G21+G6+G290=G74+G296,H21+H6+H290=H74+H296),"","НЕ ЗАПОЛНЕНО"))</f>
        <v/>
      </c>
      <c r="P3" s="40" t="s">
        <v>318</v>
      </c>
      <c r="Q3" s="41" t="s">
        <v>317</v>
      </c>
    </row>
    <row r="4" spans="1:17" ht="12" customHeight="1" x14ac:dyDescent="0.3">
      <c r="A4" s="382"/>
      <c r="B4" s="366" t="s">
        <v>189</v>
      </c>
      <c r="C4" s="366" t="s">
        <v>304</v>
      </c>
      <c r="D4" s="368" t="s">
        <v>147</v>
      </c>
      <c r="E4" s="360"/>
      <c r="F4" s="385" t="str">
        <f>CONCATENATE(ТИТУЛ!$DF$10," Г.")</f>
        <v>2021 Г.</v>
      </c>
      <c r="G4" s="371" t="str">
        <f>CONCATENATE(ТИТУЛ!$DF$10+1," Г.")</f>
        <v>2022 Г.</v>
      </c>
      <c r="H4" s="387" t="str">
        <f>CONCATENATE(ТИТУЛ!$DF$10+2," Г.")</f>
        <v>2023 Г.</v>
      </c>
      <c r="I4" s="383" t="str">
        <f>CONCATENATE(ТИТУЛ!$DF$10," Г.")</f>
        <v>2021 Г.</v>
      </c>
      <c r="J4" s="370" t="str">
        <f>CONCATENATE(ТИТУЛ!$DF$10+1," Г.")</f>
        <v>2022 Г.</v>
      </c>
      <c r="K4" s="370" t="str">
        <f>CONCATENATE(ТИТУЛ!$DF$10+2," Г.")</f>
        <v>2023 Г.</v>
      </c>
      <c r="L4" s="370" t="str">
        <f>CONCATENATE(ТИТУЛ!$DF$10," Г.")</f>
        <v>2021 Г.</v>
      </c>
      <c r="M4" s="370" t="str">
        <f>CONCATENATE(ТИТУЛ!$DF$10+1," Г.")</f>
        <v>2022 Г.</v>
      </c>
      <c r="N4" s="372" t="str">
        <f>CONCATENATE(ТИТУЛ!$DF$10+2," Г.")</f>
        <v>2023 Г.</v>
      </c>
      <c r="O4" s="39">
        <f>КБК!A4</f>
        <v>4</v>
      </c>
      <c r="P4" s="40">
        <f>КБК!A828</f>
        <v>828</v>
      </c>
      <c r="Q4" s="42" t="s">
        <v>315</v>
      </c>
    </row>
    <row r="5" spans="1:17" ht="21" customHeight="1" x14ac:dyDescent="0.3">
      <c r="A5" s="382"/>
      <c r="B5" s="367"/>
      <c r="C5" s="367"/>
      <c r="D5" s="369"/>
      <c r="E5" s="361"/>
      <c r="F5" s="386"/>
      <c r="G5" s="371"/>
      <c r="H5" s="388"/>
      <c r="I5" s="384"/>
      <c r="J5" s="371"/>
      <c r="K5" s="371"/>
      <c r="L5" s="371"/>
      <c r="M5" s="371"/>
      <c r="N5" s="371"/>
      <c r="O5" s="40">
        <f>КБК!A825</f>
        <v>0</v>
      </c>
      <c r="P5" s="40" t="e">
        <f>КБК!#REF!</f>
        <v>#REF!</v>
      </c>
      <c r="Q5" s="39"/>
    </row>
    <row r="6" spans="1:17" ht="12" customHeight="1" x14ac:dyDescent="0.3">
      <c r="A6" s="54" t="s">
        <v>300</v>
      </c>
      <c r="B6" s="55" t="s">
        <v>211</v>
      </c>
      <c r="C6" s="56">
        <v>510</v>
      </c>
      <c r="D6" s="66">
        <v>510</v>
      </c>
      <c r="E6" s="152" t="s">
        <v>709</v>
      </c>
      <c r="F6" s="131">
        <f>SUM(F7:F18)</f>
        <v>45075979.159999996</v>
      </c>
      <c r="G6" s="57">
        <f>SUM(G7:G18)</f>
        <v>0</v>
      </c>
      <c r="H6" s="132">
        <f>SUM(H7:H18)</f>
        <v>0</v>
      </c>
      <c r="I6" s="69">
        <f>SUM(I7:I18)</f>
        <v>45075979.159999996</v>
      </c>
      <c r="J6" s="69">
        <f t="shared" ref="J6:N6" si="0">SUM(J7:J18)</f>
        <v>0</v>
      </c>
      <c r="K6" s="69">
        <f t="shared" si="0"/>
        <v>0</v>
      </c>
      <c r="L6" s="69">
        <f t="shared" si="0"/>
        <v>0</v>
      </c>
      <c r="M6" s="69">
        <f t="shared" si="0"/>
        <v>0</v>
      </c>
      <c r="N6" s="69">
        <f t="shared" si="0"/>
        <v>0</v>
      </c>
      <c r="O6" s="40">
        <f>ROW()</f>
        <v>6</v>
      </c>
      <c r="P6" s="40"/>
      <c r="Q6" s="39"/>
    </row>
    <row r="7" spans="1:17" ht="12" customHeight="1" x14ac:dyDescent="0.3">
      <c r="A7" s="58" t="str">
        <f t="array" ref="A7:A18">IFERROR(INDEX(КБК!E4:E887,SMALL(IF((($D$6=КБК!F4:F887)*($C$6=КБК!G4:G887)*(NOT(ISERR(SEARCH($O$1,КБК!D4:D887))))),ROW(КБК!E4:E887)-КБК!A4+1,""),ROW()-$O$6)),"")</f>
        <v>аренда 0000000121.510.0</v>
      </c>
      <c r="B7" s="55" t="str">
        <f t="array" ref="B7:B18">IFERROR(INDEX(КБК!H4:H887,SMALL(IF((($D$6=КБК!F4:F887)*($C$6=КБК!G4:G887)*(NOT(ISERR(SEARCH($O$1,КБК!D4:D887))))),ROW(КБК!E4:E887)-КБК!A4+1,""),ROW()-$O$6)),"")</f>
        <v>1102</v>
      </c>
      <c r="C7" s="56">
        <v>510</v>
      </c>
      <c r="D7" s="66">
        <v>510</v>
      </c>
      <c r="E7" s="153"/>
      <c r="F7" s="131">
        <f>I7+L7</f>
        <v>0</v>
      </c>
      <c r="G7" s="57">
        <f t="shared" ref="G7:H17" si="1">J7+M7</f>
        <v>0</v>
      </c>
      <c r="H7" s="132">
        <f t="shared" si="1"/>
        <v>0</v>
      </c>
      <c r="I7" s="70"/>
      <c r="J7" s="57"/>
      <c r="K7" s="57"/>
      <c r="L7" s="57"/>
      <c r="M7" s="57"/>
      <c r="N7" s="57"/>
      <c r="O7" s="40"/>
      <c r="P7" s="40"/>
      <c r="Q7" s="39"/>
    </row>
    <row r="8" spans="1:17" ht="12" customHeight="1" x14ac:dyDescent="0.3">
      <c r="A8" s="58" t="str">
        <v>доходы 0000000131.510.0</v>
      </c>
      <c r="B8" s="55" t="str">
        <v>1102</v>
      </c>
      <c r="C8" s="56">
        <v>510</v>
      </c>
      <c r="D8" s="66">
        <v>510</v>
      </c>
      <c r="E8" s="153"/>
      <c r="F8" s="131">
        <f t="shared" ref="F8:F17" si="2">I8+L8</f>
        <v>74604.179999999993</v>
      </c>
      <c r="G8" s="57">
        <f t="shared" si="1"/>
        <v>0</v>
      </c>
      <c r="H8" s="132">
        <f t="shared" si="1"/>
        <v>0</v>
      </c>
      <c r="I8" s="70">
        <v>74604.179999999993</v>
      </c>
      <c r="J8" s="57"/>
      <c r="K8" s="57"/>
      <c r="L8" s="57"/>
      <c r="M8" s="57"/>
      <c r="N8" s="57"/>
      <c r="O8" s="40"/>
      <c r="P8" s="40"/>
      <c r="Q8" s="39"/>
    </row>
    <row r="9" spans="1:17" ht="12" customHeight="1" x14ac:dyDescent="0.3">
      <c r="A9" s="58" t="str">
        <v>временно 0000000003.510.0</v>
      </c>
      <c r="B9" s="55" t="str">
        <v>1102</v>
      </c>
      <c r="C9" s="56">
        <v>510</v>
      </c>
      <c r="D9" s="66">
        <v>510</v>
      </c>
      <c r="E9" s="153"/>
      <c r="F9" s="131">
        <f t="shared" si="2"/>
        <v>0</v>
      </c>
      <c r="G9" s="57">
        <f t="shared" si="1"/>
        <v>0</v>
      </c>
      <c r="H9" s="132">
        <f t="shared" si="1"/>
        <v>0</v>
      </c>
      <c r="I9" s="70"/>
      <c r="J9" s="57"/>
      <c r="K9" s="57"/>
      <c r="L9" s="57"/>
      <c r="M9" s="57"/>
      <c r="N9" s="57"/>
      <c r="O9" s="40"/>
      <c r="P9" s="40"/>
      <c r="Q9" s="39"/>
    </row>
    <row r="10" spans="1:17" ht="12" customHeight="1" x14ac:dyDescent="0.3">
      <c r="A10" s="58" t="str">
        <v>спонсор 0000000155.510.0</v>
      </c>
      <c r="B10" s="55" t="str">
        <v>1102</v>
      </c>
      <c r="C10" s="56">
        <v>510</v>
      </c>
      <c r="D10" s="66">
        <v>510</v>
      </c>
      <c r="E10" s="153"/>
      <c r="F10" s="131">
        <f t="shared" si="2"/>
        <v>0</v>
      </c>
      <c r="G10" s="57">
        <f t="shared" si="1"/>
        <v>0</v>
      </c>
      <c r="H10" s="132">
        <f t="shared" si="1"/>
        <v>0</v>
      </c>
      <c r="I10" s="70"/>
      <c r="J10" s="57"/>
      <c r="K10" s="57"/>
      <c r="L10" s="57"/>
      <c r="M10" s="57"/>
      <c r="N10" s="57"/>
      <c r="O10" s="40"/>
      <c r="P10" s="40"/>
      <c r="Q10" s="39"/>
    </row>
    <row r="11" spans="1:17" ht="12" customHeight="1" x14ac:dyDescent="0.3">
      <c r="A11" s="58" t="str">
        <v>спорт 1130387590.510.0</v>
      </c>
      <c r="B11" s="55" t="str">
        <v>1102</v>
      </c>
      <c r="C11" s="56">
        <v>510</v>
      </c>
      <c r="D11" s="66">
        <v>510</v>
      </c>
      <c r="E11" s="153"/>
      <c r="F11" s="131">
        <f t="shared" si="2"/>
        <v>1374.98</v>
      </c>
      <c r="G11" s="57">
        <f t="shared" si="1"/>
        <v>0</v>
      </c>
      <c r="H11" s="132">
        <f t="shared" si="1"/>
        <v>0</v>
      </c>
      <c r="I11" s="70">
        <v>1374.98</v>
      </c>
      <c r="J11" s="57"/>
      <c r="K11" s="57"/>
      <c r="L11" s="57"/>
      <c r="M11" s="57"/>
      <c r="N11" s="57"/>
      <c r="O11" s="40"/>
      <c r="P11" s="40"/>
      <c r="Q11" s="39"/>
    </row>
    <row r="12" spans="1:17" ht="12" customHeight="1" x14ac:dyDescent="0.3">
      <c r="A12" s="58" t="str">
        <v>спорт з/п 11303S2090.510.0</v>
      </c>
      <c r="B12" s="55" t="str">
        <v>1102</v>
      </c>
      <c r="C12" s="56">
        <v>510</v>
      </c>
      <c r="D12" s="66">
        <v>510</v>
      </c>
      <c r="E12" s="153"/>
      <c r="F12" s="131">
        <f t="shared" si="2"/>
        <v>0</v>
      </c>
      <c r="G12" s="57">
        <f t="shared" si="1"/>
        <v>0</v>
      </c>
      <c r="H12" s="132">
        <f t="shared" si="1"/>
        <v>0</v>
      </c>
      <c r="I12" s="70"/>
      <c r="J12" s="57"/>
      <c r="K12" s="57"/>
      <c r="L12" s="57"/>
      <c r="M12" s="57"/>
      <c r="N12" s="57"/>
      <c r="O12" s="40"/>
      <c r="P12" s="40"/>
      <c r="Q12" s="39"/>
    </row>
    <row r="13" spans="1:17" ht="12" customHeight="1" x14ac:dyDescent="0.3">
      <c r="A13" s="58" t="str">
        <v>комфорт 777F254240.510.0</v>
      </c>
      <c r="B13" s="55" t="str">
        <v>0505</v>
      </c>
      <c r="C13" s="56">
        <v>510</v>
      </c>
      <c r="D13" s="66">
        <v>510</v>
      </c>
      <c r="E13" s="153"/>
      <c r="F13" s="131">
        <f t="shared" si="2"/>
        <v>45000000</v>
      </c>
      <c r="G13" s="57">
        <f t="shared" si="1"/>
        <v>0</v>
      </c>
      <c r="H13" s="132">
        <f t="shared" si="1"/>
        <v>0</v>
      </c>
      <c r="I13" s="70">
        <v>45000000</v>
      </c>
      <c r="J13" s="57"/>
      <c r="K13" s="57"/>
      <c r="L13" s="57"/>
      <c r="M13" s="57"/>
      <c r="N13" s="57"/>
      <c r="O13" s="40"/>
      <c r="P13" s="40"/>
      <c r="Q13" s="39"/>
    </row>
    <row r="14" spans="1:17" ht="12" customHeight="1" x14ac:dyDescent="0.3">
      <c r="A14" s="58" t="str">
        <v/>
      </c>
      <c r="B14" s="55" t="str">
        <v/>
      </c>
      <c r="C14" s="56">
        <v>510</v>
      </c>
      <c r="D14" s="66">
        <v>510</v>
      </c>
      <c r="E14" s="153"/>
      <c r="F14" s="131">
        <f t="shared" si="2"/>
        <v>0</v>
      </c>
      <c r="G14" s="57">
        <f t="shared" si="1"/>
        <v>0</v>
      </c>
      <c r="H14" s="132">
        <f t="shared" si="1"/>
        <v>0</v>
      </c>
      <c r="I14" s="70"/>
      <c r="J14" s="57"/>
      <c r="K14" s="57"/>
      <c r="L14" s="57"/>
      <c r="M14" s="57"/>
      <c r="N14" s="57"/>
      <c r="O14" s="40"/>
      <c r="P14" s="40"/>
      <c r="Q14" s="39"/>
    </row>
    <row r="15" spans="1:17" ht="12" customHeight="1" x14ac:dyDescent="0.3">
      <c r="A15" s="58" t="str">
        <v/>
      </c>
      <c r="B15" s="55" t="str">
        <v/>
      </c>
      <c r="C15" s="56">
        <v>510</v>
      </c>
      <c r="D15" s="66">
        <v>510</v>
      </c>
      <c r="E15" s="153"/>
      <c r="F15" s="131">
        <f t="shared" si="2"/>
        <v>0</v>
      </c>
      <c r="G15" s="57">
        <f t="shared" si="1"/>
        <v>0</v>
      </c>
      <c r="H15" s="132">
        <f t="shared" si="1"/>
        <v>0</v>
      </c>
      <c r="I15" s="70"/>
      <c r="J15" s="57"/>
      <c r="K15" s="57"/>
      <c r="L15" s="57"/>
      <c r="M15" s="57"/>
      <c r="N15" s="57"/>
      <c r="O15" s="40"/>
      <c r="P15" s="40"/>
      <c r="Q15" s="39"/>
    </row>
    <row r="16" spans="1:17" ht="12" customHeight="1" x14ac:dyDescent="0.3">
      <c r="A16" s="58" t="str">
        <v/>
      </c>
      <c r="B16" s="55" t="str">
        <v/>
      </c>
      <c r="C16" s="56">
        <v>510</v>
      </c>
      <c r="D16" s="66">
        <v>510</v>
      </c>
      <c r="E16" s="153"/>
      <c r="F16" s="131">
        <f t="shared" si="2"/>
        <v>0</v>
      </c>
      <c r="G16" s="57">
        <f t="shared" si="1"/>
        <v>0</v>
      </c>
      <c r="H16" s="132">
        <f t="shared" si="1"/>
        <v>0</v>
      </c>
      <c r="I16" s="70"/>
      <c r="J16" s="57"/>
      <c r="K16" s="57"/>
      <c r="L16" s="57"/>
      <c r="M16" s="57"/>
      <c r="N16" s="57"/>
      <c r="O16" s="40"/>
      <c r="P16" s="40"/>
      <c r="Q16" s="39"/>
    </row>
    <row r="17" spans="1:17" ht="12" customHeight="1" x14ac:dyDescent="0.3">
      <c r="A17" s="58" t="str">
        <v/>
      </c>
      <c r="B17" s="55" t="str">
        <v/>
      </c>
      <c r="C17" s="56">
        <v>510</v>
      </c>
      <c r="D17" s="66">
        <v>510</v>
      </c>
      <c r="E17" s="153"/>
      <c r="F17" s="131">
        <f t="shared" si="2"/>
        <v>0</v>
      </c>
      <c r="G17" s="57">
        <f t="shared" si="1"/>
        <v>0</v>
      </c>
      <c r="H17" s="132">
        <f t="shared" si="1"/>
        <v>0</v>
      </c>
      <c r="I17" s="70"/>
      <c r="J17" s="57"/>
      <c r="K17" s="57"/>
      <c r="L17" s="57"/>
      <c r="M17" s="57"/>
      <c r="N17" s="57"/>
      <c r="O17" s="40"/>
      <c r="P17" s="40"/>
      <c r="Q17" s="39"/>
    </row>
    <row r="18" spans="1:17" ht="12" customHeight="1" x14ac:dyDescent="0.3">
      <c r="A18" s="58" t="str">
        <v/>
      </c>
      <c r="B18" s="55" t="str">
        <v/>
      </c>
      <c r="C18" s="56">
        <v>510</v>
      </c>
      <c r="D18" s="66">
        <v>510</v>
      </c>
      <c r="E18" s="153"/>
      <c r="F18" s="131"/>
      <c r="G18" s="57"/>
      <c r="H18" s="132"/>
      <c r="I18" s="70"/>
      <c r="J18" s="57"/>
      <c r="K18" s="57"/>
      <c r="L18" s="57"/>
      <c r="M18" s="57"/>
      <c r="N18" s="57"/>
      <c r="O18" s="40"/>
      <c r="P18" s="40"/>
      <c r="Q18" s="39"/>
    </row>
    <row r="19" spans="1:17" ht="12" customHeight="1" x14ac:dyDescent="0.3">
      <c r="A19" s="54" t="s">
        <v>301</v>
      </c>
      <c r="B19" s="55" t="s">
        <v>211</v>
      </c>
      <c r="C19" s="56">
        <v>610</v>
      </c>
      <c r="D19" s="66">
        <v>610</v>
      </c>
      <c r="E19" s="152" t="s">
        <v>710</v>
      </c>
      <c r="F19" s="131">
        <f t="shared" ref="F19:N19" si="3">F6+F21-F74+F290-F296</f>
        <v>0</v>
      </c>
      <c r="G19" s="57">
        <f t="shared" si="3"/>
        <v>0</v>
      </c>
      <c r="H19" s="132">
        <f t="shared" si="3"/>
        <v>0</v>
      </c>
      <c r="I19" s="69">
        <f t="shared" si="3"/>
        <v>0</v>
      </c>
      <c r="J19" s="57">
        <f t="shared" si="3"/>
        <v>0</v>
      </c>
      <c r="K19" s="57">
        <f t="shared" si="3"/>
        <v>0</v>
      </c>
      <c r="L19" s="57">
        <f t="shared" si="3"/>
        <v>0</v>
      </c>
      <c r="M19" s="57">
        <f t="shared" si="3"/>
        <v>0</v>
      </c>
      <c r="N19" s="57">
        <f t="shared" si="3"/>
        <v>0</v>
      </c>
      <c r="O19" s="40">
        <f>ROW()</f>
        <v>19</v>
      </c>
      <c r="P19" s="40"/>
      <c r="Q19" s="39"/>
    </row>
    <row r="20" spans="1:17" ht="12" customHeight="1" thickBot="1" x14ac:dyDescent="0.35">
      <c r="A20" s="112" t="str">
        <f t="array" ref="A20">IFERROR(INDEX(КБК!E4:E389,SMALL(IF((($D$19=КБК!F4:F389)*($C$19=КБК!G4:G389)*(NOT(ISERR(SEARCH($O$1,КБК!D4:D389))))),ROW(КБК!E4:E389)-КБК!A4+1,""),ROW()-$O$19)),"")</f>
        <v/>
      </c>
      <c r="B20" s="113" t="str">
        <f t="array" ref="B20">IFERROR(INDEX(КБК!H4:H389,SMALL(IF((($D$20=КБК!F4:F389)*($C$20=КБК!G4:G389)*(NOT(ISERR(SEARCH($O$1,КБК!D4:D389))))),ROW(КБК!E4:E389)-КБК!A4+1,""),ROW()-$O$19)),"")</f>
        <v/>
      </c>
      <c r="C20" s="114">
        <v>610</v>
      </c>
      <c r="D20" s="115">
        <v>610</v>
      </c>
      <c r="E20" s="154"/>
      <c r="F20" s="133">
        <f>I20+L20</f>
        <v>0</v>
      </c>
      <c r="G20" s="73">
        <f>J20+M20</f>
        <v>0</v>
      </c>
      <c r="H20" s="134">
        <f>K20+N20</f>
        <v>0</v>
      </c>
      <c r="I20" s="241"/>
      <c r="J20" s="73"/>
      <c r="K20" s="73"/>
      <c r="L20" s="73"/>
      <c r="M20" s="73"/>
      <c r="N20" s="73"/>
      <c r="O20" s="76"/>
      <c r="P20" s="40"/>
      <c r="Q20" s="39"/>
    </row>
    <row r="21" spans="1:17" ht="12" customHeight="1" x14ac:dyDescent="0.3">
      <c r="A21" s="143" t="s">
        <v>297</v>
      </c>
      <c r="B21" s="138" t="s">
        <v>211</v>
      </c>
      <c r="C21" s="144" t="s">
        <v>211</v>
      </c>
      <c r="D21" s="145" t="s">
        <v>211</v>
      </c>
      <c r="E21" s="155">
        <v>1000</v>
      </c>
      <c r="F21" s="139">
        <f t="shared" ref="F21:N21" si="4">F22+F25+F43+F61+F64+F40+F65</f>
        <v>106275800</v>
      </c>
      <c r="G21" s="140">
        <f t="shared" si="4"/>
        <v>58849600</v>
      </c>
      <c r="H21" s="141">
        <f t="shared" si="4"/>
        <v>58849600</v>
      </c>
      <c r="I21" s="142">
        <f t="shared" si="4"/>
        <v>58849600</v>
      </c>
      <c r="J21" s="140">
        <f t="shared" si="4"/>
        <v>58849600</v>
      </c>
      <c r="K21" s="140">
        <f t="shared" si="4"/>
        <v>58849600</v>
      </c>
      <c r="L21" s="140">
        <f t="shared" si="4"/>
        <v>47426200</v>
      </c>
      <c r="M21" s="140">
        <f t="shared" si="4"/>
        <v>0</v>
      </c>
      <c r="N21" s="140">
        <f t="shared" si="4"/>
        <v>0</v>
      </c>
      <c r="O21" s="40"/>
      <c r="P21" s="40"/>
      <c r="Q21" s="39"/>
    </row>
    <row r="22" spans="1:17" ht="12" customHeight="1" x14ac:dyDescent="0.3">
      <c r="A22" s="60" t="s">
        <v>334</v>
      </c>
      <c r="B22" s="55" t="s">
        <v>211</v>
      </c>
      <c r="C22" s="56">
        <v>120</v>
      </c>
      <c r="D22" s="66">
        <v>121</v>
      </c>
      <c r="E22" s="153">
        <v>1100</v>
      </c>
      <c r="F22" s="135">
        <f t="shared" ref="F22:N22" si="5">SUM(F23:F24)</f>
        <v>131000</v>
      </c>
      <c r="G22" s="57">
        <f t="shared" si="5"/>
        <v>131000</v>
      </c>
      <c r="H22" s="136">
        <f t="shared" si="5"/>
        <v>131000</v>
      </c>
      <c r="I22" s="72">
        <f t="shared" si="5"/>
        <v>131000</v>
      </c>
      <c r="J22" s="57">
        <f t="shared" si="5"/>
        <v>131000</v>
      </c>
      <c r="K22" s="57">
        <f t="shared" si="5"/>
        <v>131000</v>
      </c>
      <c r="L22" s="57">
        <f t="shared" si="5"/>
        <v>0</v>
      </c>
      <c r="M22" s="57">
        <f t="shared" si="5"/>
        <v>0</v>
      </c>
      <c r="N22" s="57">
        <f t="shared" si="5"/>
        <v>0</v>
      </c>
      <c r="O22" s="40">
        <f>ROW()</f>
        <v>22</v>
      </c>
      <c r="P22" s="40"/>
      <c r="Q22" s="39"/>
    </row>
    <row r="23" spans="1:17" ht="12" customHeight="1" x14ac:dyDescent="0.3">
      <c r="A23" s="58" t="str">
        <f t="array" ref="A23:A24">IFERROR(INDEX(КБК!E4:E389,SMALL(IF((($D$22=КБК!F4:F389)*($C$22=КБК!G4:G389)*(NOT(ISERR(SEARCH($O$1,КБК!D4:D389))))),ROW(КБК!E4:E389)-КБК!A4+1,""),ROW()-$O$22)),"")</f>
        <v>аренда 0000000121.120.0</v>
      </c>
      <c r="B23" s="55" t="str">
        <f t="array" ref="B23:B24">IFERROR(INDEX(КБК!H4:H825,SMALL(IF((($D$23=КБК!F4:F389)*($C$23=КБК!G4:G389)*(NOT(ISERR(SEARCH($O$1,КБК!D4:D389))))),ROW(КБК!E4:E389)-КБК!A4+1,""),ROW()-$O$22)),"")</f>
        <v>1102</v>
      </c>
      <c r="C23" s="56">
        <v>120</v>
      </c>
      <c r="D23" s="66">
        <v>121</v>
      </c>
      <c r="E23" s="153"/>
      <c r="F23" s="131">
        <f t="shared" ref="F23:H24" si="6">I23+L23</f>
        <v>131000</v>
      </c>
      <c r="G23" s="57">
        <f t="shared" si="6"/>
        <v>131000</v>
      </c>
      <c r="H23" s="132">
        <f t="shared" si="6"/>
        <v>131000</v>
      </c>
      <c r="I23" s="70">
        <v>131000</v>
      </c>
      <c r="J23" s="59">
        <v>131000</v>
      </c>
      <c r="K23" s="59">
        <v>131000</v>
      </c>
      <c r="L23" s="59"/>
      <c r="M23" s="59"/>
      <c r="N23" s="59"/>
      <c r="O23" s="40"/>
      <c r="P23" s="40"/>
      <c r="Q23" s="39"/>
    </row>
    <row r="24" spans="1:17" ht="12" customHeight="1" x14ac:dyDescent="0.3">
      <c r="A24" s="58" t="str">
        <v/>
      </c>
      <c r="B24" s="55" t="str">
        <v/>
      </c>
      <c r="C24" s="56">
        <v>120</v>
      </c>
      <c r="D24" s="66">
        <v>121</v>
      </c>
      <c r="E24" s="153"/>
      <c r="F24" s="131">
        <f t="shared" si="6"/>
        <v>0</v>
      </c>
      <c r="G24" s="57">
        <f t="shared" si="6"/>
        <v>0</v>
      </c>
      <c r="H24" s="132">
        <f t="shared" si="6"/>
        <v>0</v>
      </c>
      <c r="I24" s="70"/>
      <c r="J24" s="59"/>
      <c r="K24" s="59"/>
      <c r="L24" s="59"/>
      <c r="M24" s="59"/>
      <c r="N24" s="59"/>
      <c r="O24" s="40"/>
      <c r="P24" s="40"/>
      <c r="Q24" s="39"/>
    </row>
    <row r="25" spans="1:17" ht="12" customHeight="1" x14ac:dyDescent="0.3">
      <c r="A25" s="60" t="s">
        <v>335</v>
      </c>
      <c r="B25" s="55" t="s">
        <v>211</v>
      </c>
      <c r="C25" s="56">
        <v>130</v>
      </c>
      <c r="D25" s="66" t="s">
        <v>211</v>
      </c>
      <c r="E25" s="153">
        <v>1200</v>
      </c>
      <c r="F25" s="135">
        <f>F26+F38+F39</f>
        <v>58718600</v>
      </c>
      <c r="G25" s="57">
        <f t="shared" ref="G25:N25" si="7">G26+G38+G39</f>
        <v>58718600</v>
      </c>
      <c r="H25" s="72">
        <f t="shared" si="7"/>
        <v>58718600</v>
      </c>
      <c r="I25" s="135">
        <f t="shared" si="7"/>
        <v>58718600</v>
      </c>
      <c r="J25" s="57">
        <f t="shared" si="7"/>
        <v>58718600</v>
      </c>
      <c r="K25" s="57">
        <f t="shared" si="7"/>
        <v>58718600</v>
      </c>
      <c r="L25" s="57">
        <f t="shared" si="7"/>
        <v>0</v>
      </c>
      <c r="M25" s="57">
        <f t="shared" si="7"/>
        <v>0</v>
      </c>
      <c r="N25" s="72">
        <f t="shared" si="7"/>
        <v>0</v>
      </c>
      <c r="P25" s="40"/>
      <c r="Q25" s="39"/>
    </row>
    <row r="26" spans="1:17" ht="12" customHeight="1" x14ac:dyDescent="0.3">
      <c r="A26" s="60" t="s">
        <v>708</v>
      </c>
      <c r="B26" s="55" t="s">
        <v>211</v>
      </c>
      <c r="C26" s="56">
        <v>130</v>
      </c>
      <c r="D26" s="66">
        <v>131</v>
      </c>
      <c r="E26" s="153">
        <v>1210</v>
      </c>
      <c r="F26" s="135">
        <f>SUM(F27:F37)</f>
        <v>56168600</v>
      </c>
      <c r="G26" s="57">
        <f t="shared" ref="G26:N26" si="8">SUM(G27:G37)</f>
        <v>56168600</v>
      </c>
      <c r="H26" s="72">
        <f t="shared" si="8"/>
        <v>56168600</v>
      </c>
      <c r="I26" s="135">
        <f t="shared" si="8"/>
        <v>56168600</v>
      </c>
      <c r="J26" s="57">
        <f t="shared" si="8"/>
        <v>56168600</v>
      </c>
      <c r="K26" s="57">
        <f t="shared" si="8"/>
        <v>56168600</v>
      </c>
      <c r="L26" s="57">
        <f t="shared" si="8"/>
        <v>0</v>
      </c>
      <c r="M26" s="57">
        <f t="shared" si="8"/>
        <v>0</v>
      </c>
      <c r="N26" s="72">
        <f t="shared" si="8"/>
        <v>0</v>
      </c>
      <c r="O26" s="40">
        <f>ROW()</f>
        <v>26</v>
      </c>
      <c r="P26" s="40"/>
      <c r="Q26" s="39"/>
    </row>
    <row r="27" spans="1:17" ht="12" customHeight="1" x14ac:dyDescent="0.3">
      <c r="A27" s="58" t="str">
        <f t="array" ref="A27:A37">IFERROR(INDEX(КБК!E390:E825,SMALL(IF((($D$26=КБК!F390:F825)*($C$26=КБК!G390:G825)*(NOT(ISERR(SEARCH($O$1,КБК!D390:D825))))),ROW(КБК!E390:E825)-КБК!A390+1,""),ROW()-$O$26)),"")</f>
        <v>учащийся 0120823590.130.0</v>
      </c>
      <c r="B27" s="55" t="str">
        <f t="array" ref="B27:B37">IFERROR(INDEX(КБК!H390:H825,SMALL(IF((($D$26=КБК!F389:F825)*($C$26=КБК!G389:G825)*(NOT(ISERR(SEARCH($O$1,КБК!D389:D825))))),ROW(КБК!E389:E825)-КБК!A390+1,""),ROW()-$O$26)),"")</f>
        <v>0703</v>
      </c>
      <c r="C27" s="56">
        <v>130</v>
      </c>
      <c r="D27" s="66">
        <v>131</v>
      </c>
      <c r="E27" s="153"/>
      <c r="F27" s="131">
        <f>I27+L27</f>
        <v>0</v>
      </c>
      <c r="G27" s="57">
        <f t="shared" ref="G27:H37" si="9">J27+M27</f>
        <v>0</v>
      </c>
      <c r="H27" s="132">
        <f t="shared" si="9"/>
        <v>0</v>
      </c>
      <c r="I27" s="70"/>
      <c r="J27" s="59"/>
      <c r="K27" s="59"/>
      <c r="L27" s="59"/>
      <c r="M27" s="59"/>
      <c r="N27" s="59"/>
      <c r="O27" s="40"/>
      <c r="P27" s="40"/>
      <c r="Q27" s="39"/>
    </row>
    <row r="28" spans="1:17" s="25" customFormat="1" ht="12" customHeight="1" x14ac:dyDescent="0.3">
      <c r="A28" s="58" t="str">
        <v>спорт 1130387590.130.0</v>
      </c>
      <c r="B28" s="55" t="str">
        <v>0703</v>
      </c>
      <c r="C28" s="61">
        <v>130</v>
      </c>
      <c r="D28" s="67">
        <v>131</v>
      </c>
      <c r="E28" s="156"/>
      <c r="F28" s="131">
        <f t="shared" ref="F28:F37" si="10">I28+L28</f>
        <v>7837020</v>
      </c>
      <c r="G28" s="57">
        <f t="shared" si="9"/>
        <v>7837020</v>
      </c>
      <c r="H28" s="132">
        <f t="shared" si="9"/>
        <v>7837020</v>
      </c>
      <c r="I28" s="70">
        <v>7837020</v>
      </c>
      <c r="J28" s="59">
        <v>7837020</v>
      </c>
      <c r="K28" s="59">
        <v>7837020</v>
      </c>
      <c r="L28" s="59"/>
      <c r="M28" s="59"/>
      <c r="N28" s="59"/>
      <c r="O28" s="40"/>
      <c r="P28" s="40"/>
      <c r="Q28" s="43"/>
    </row>
    <row r="29" spans="1:17" s="25" customFormat="1" ht="12" customHeight="1" x14ac:dyDescent="0.3">
      <c r="A29" s="58" t="str">
        <v>спорт 1130387590.130.0</v>
      </c>
      <c r="B29" s="55" t="str">
        <v>1102</v>
      </c>
      <c r="C29" s="61">
        <v>130</v>
      </c>
      <c r="D29" s="67">
        <v>131</v>
      </c>
      <c r="E29" s="156"/>
      <c r="F29" s="131">
        <f t="shared" si="10"/>
        <v>48331580</v>
      </c>
      <c r="G29" s="57">
        <f t="shared" si="9"/>
        <v>48331580</v>
      </c>
      <c r="H29" s="132">
        <f t="shared" si="9"/>
        <v>48331580</v>
      </c>
      <c r="I29" s="70">
        <v>48331580</v>
      </c>
      <c r="J29" s="59">
        <v>48331580</v>
      </c>
      <c r="K29" s="59">
        <v>48331580</v>
      </c>
      <c r="L29" s="59"/>
      <c r="M29" s="59"/>
      <c r="N29" s="59"/>
      <c r="O29" s="40"/>
      <c r="P29" s="40"/>
      <c r="Q29" s="43"/>
    </row>
    <row r="30" spans="1:17" s="25" customFormat="1" ht="12" customHeight="1" x14ac:dyDescent="0.3">
      <c r="A30" s="58" t="str">
        <v>спорт з/п 11303S2090.130.0</v>
      </c>
      <c r="B30" s="55" t="str">
        <v>1102</v>
      </c>
      <c r="C30" s="61">
        <v>130</v>
      </c>
      <c r="D30" s="67">
        <v>131</v>
      </c>
      <c r="E30" s="156"/>
      <c r="F30" s="131">
        <f t="shared" si="10"/>
        <v>0</v>
      </c>
      <c r="G30" s="57">
        <f t="shared" si="9"/>
        <v>0</v>
      </c>
      <c r="H30" s="132">
        <f t="shared" si="9"/>
        <v>0</v>
      </c>
      <c r="I30" s="70"/>
      <c r="J30" s="59"/>
      <c r="K30" s="59"/>
      <c r="L30" s="59"/>
      <c r="M30" s="59"/>
      <c r="N30" s="59"/>
      <c r="O30" s="40"/>
      <c r="P30" s="40"/>
      <c r="Q30" s="43"/>
    </row>
    <row r="31" spans="1:17" s="25" customFormat="1" ht="12" customHeight="1" x14ac:dyDescent="0.3">
      <c r="A31" s="58" t="str">
        <v/>
      </c>
      <c r="B31" s="55" t="str">
        <v/>
      </c>
      <c r="C31" s="61">
        <v>130</v>
      </c>
      <c r="D31" s="67">
        <v>131</v>
      </c>
      <c r="E31" s="156"/>
      <c r="F31" s="131">
        <f t="shared" si="10"/>
        <v>0</v>
      </c>
      <c r="G31" s="57">
        <f t="shared" si="9"/>
        <v>0</v>
      </c>
      <c r="H31" s="132">
        <f t="shared" si="9"/>
        <v>0</v>
      </c>
      <c r="I31" s="70"/>
      <c r="J31" s="59"/>
      <c r="K31" s="59"/>
      <c r="L31" s="59"/>
      <c r="M31" s="59"/>
      <c r="N31" s="59"/>
      <c r="O31" s="40"/>
      <c r="P31" s="40"/>
      <c r="Q31" s="43"/>
    </row>
    <row r="32" spans="1:17" s="25" customFormat="1" ht="12" customHeight="1" x14ac:dyDescent="0.3">
      <c r="A32" s="58" t="str">
        <v/>
      </c>
      <c r="B32" s="55" t="str">
        <v/>
      </c>
      <c r="C32" s="61">
        <v>130</v>
      </c>
      <c r="D32" s="67">
        <v>131</v>
      </c>
      <c r="E32" s="156"/>
      <c r="F32" s="131">
        <f t="shared" si="10"/>
        <v>0</v>
      </c>
      <c r="G32" s="57">
        <f t="shared" si="9"/>
        <v>0</v>
      </c>
      <c r="H32" s="132">
        <f t="shared" si="9"/>
        <v>0</v>
      </c>
      <c r="I32" s="70"/>
      <c r="J32" s="59"/>
      <c r="K32" s="59"/>
      <c r="L32" s="59"/>
      <c r="M32" s="59"/>
      <c r="N32" s="59"/>
      <c r="O32" s="40"/>
      <c r="P32" s="40"/>
      <c r="Q32" s="43"/>
    </row>
    <row r="33" spans="1:17" ht="12" customHeight="1" x14ac:dyDescent="0.3">
      <c r="A33" s="58" t="str">
        <v/>
      </c>
      <c r="B33" s="55" t="str">
        <v/>
      </c>
      <c r="C33" s="61">
        <v>130</v>
      </c>
      <c r="D33" s="66">
        <v>131</v>
      </c>
      <c r="E33" s="153"/>
      <c r="F33" s="131">
        <f t="shared" si="10"/>
        <v>0</v>
      </c>
      <c r="G33" s="57">
        <f t="shared" si="9"/>
        <v>0</v>
      </c>
      <c r="H33" s="132">
        <f t="shared" si="9"/>
        <v>0</v>
      </c>
      <c r="I33" s="70"/>
      <c r="J33" s="59"/>
      <c r="K33" s="59"/>
      <c r="L33" s="59"/>
      <c r="M33" s="59"/>
      <c r="N33" s="59"/>
      <c r="O33" s="40"/>
      <c r="P33" s="40"/>
      <c r="Q33" s="39"/>
    </row>
    <row r="34" spans="1:17" ht="12" customHeight="1" x14ac:dyDescent="0.3">
      <c r="A34" s="58" t="str">
        <v/>
      </c>
      <c r="B34" s="55" t="str">
        <v/>
      </c>
      <c r="C34" s="61">
        <v>130</v>
      </c>
      <c r="D34" s="66">
        <v>131</v>
      </c>
      <c r="E34" s="153"/>
      <c r="F34" s="131">
        <f t="shared" si="10"/>
        <v>0</v>
      </c>
      <c r="G34" s="57">
        <f t="shared" si="9"/>
        <v>0</v>
      </c>
      <c r="H34" s="132">
        <f t="shared" si="9"/>
        <v>0</v>
      </c>
      <c r="I34" s="70"/>
      <c r="J34" s="59"/>
      <c r="K34" s="59"/>
      <c r="L34" s="59"/>
      <c r="M34" s="59"/>
      <c r="N34" s="59"/>
      <c r="O34" s="40"/>
      <c r="P34" s="40"/>
      <c r="Q34" s="39"/>
    </row>
    <row r="35" spans="1:17" ht="12" customHeight="1" x14ac:dyDescent="0.3">
      <c r="A35" s="58" t="str">
        <v/>
      </c>
      <c r="B35" s="55" t="str">
        <v/>
      </c>
      <c r="C35" s="61">
        <v>130</v>
      </c>
      <c r="D35" s="66">
        <v>131</v>
      </c>
      <c r="E35" s="153"/>
      <c r="F35" s="131">
        <f t="shared" si="10"/>
        <v>0</v>
      </c>
      <c r="G35" s="57">
        <f t="shared" si="9"/>
        <v>0</v>
      </c>
      <c r="H35" s="132">
        <f t="shared" si="9"/>
        <v>0</v>
      </c>
      <c r="I35" s="70"/>
      <c r="J35" s="59"/>
      <c r="K35" s="59"/>
      <c r="L35" s="59"/>
      <c r="M35" s="59"/>
      <c r="N35" s="59"/>
      <c r="O35" s="40"/>
      <c r="P35" s="40"/>
      <c r="Q35" s="39"/>
    </row>
    <row r="36" spans="1:17" ht="12" customHeight="1" x14ac:dyDescent="0.3">
      <c r="A36" s="58" t="str">
        <v/>
      </c>
      <c r="B36" s="55" t="str">
        <v/>
      </c>
      <c r="C36" s="61">
        <v>130</v>
      </c>
      <c r="D36" s="66">
        <v>131</v>
      </c>
      <c r="E36" s="153"/>
      <c r="F36" s="135">
        <f t="shared" si="10"/>
        <v>0</v>
      </c>
      <c r="G36" s="57">
        <f t="shared" si="9"/>
        <v>0</v>
      </c>
      <c r="H36" s="132">
        <f t="shared" si="9"/>
        <v>0</v>
      </c>
      <c r="I36" s="70"/>
      <c r="J36" s="59"/>
      <c r="K36" s="59"/>
      <c r="L36" s="59"/>
      <c r="M36" s="59"/>
      <c r="N36" s="59"/>
      <c r="O36" s="40"/>
      <c r="P36" s="40"/>
      <c r="Q36" s="39"/>
    </row>
    <row r="37" spans="1:17" ht="12" customHeight="1" x14ac:dyDescent="0.3">
      <c r="A37" s="58" t="str">
        <v/>
      </c>
      <c r="B37" s="55" t="str">
        <v/>
      </c>
      <c r="C37" s="61">
        <v>130</v>
      </c>
      <c r="D37" s="66">
        <v>131</v>
      </c>
      <c r="E37" s="153"/>
      <c r="F37" s="135">
        <f t="shared" si="10"/>
        <v>0</v>
      </c>
      <c r="G37" s="57">
        <f t="shared" si="9"/>
        <v>0</v>
      </c>
      <c r="H37" s="132">
        <f t="shared" si="9"/>
        <v>0</v>
      </c>
      <c r="I37" s="70"/>
      <c r="J37" s="59"/>
      <c r="K37" s="59"/>
      <c r="L37" s="59"/>
      <c r="M37" s="59"/>
      <c r="N37" s="59"/>
      <c r="O37" s="40"/>
      <c r="P37" s="40"/>
      <c r="Q37" s="39"/>
    </row>
    <row r="38" spans="1:17" ht="12" customHeight="1" x14ac:dyDescent="0.3">
      <c r="A38" s="58" t="str">
        <f t="array" ref="A38">IFERROR(INDEX(КБК!E4:E389,SMALL(IF((($D$38=КБК!F4:F389)*($C$38=КБК!G4:G389)*(NOT(ISERR(SEARCH($O$1,КБК!D4:D389))))),ROW(КБК!E4:E389)-3,""),ROW()-$O$38+1)),"")</f>
        <v>доходы 0000000131.130.0</v>
      </c>
      <c r="B38" s="55" t="str">
        <f t="array" ref="B38">IFERROR(INDEX(КБК!H4:H825,SMALL(IF((($D$38=КБК!F4:F389)*($C$38=КБК!G4:G389)*(NOT(ISERR(SEARCH($O$1,КБК!D4:D389))))),ROW(КБК!E4:E389)-3,""),ROW()-$O$38+1)),"")</f>
        <v>1102</v>
      </c>
      <c r="C38" s="61">
        <v>130</v>
      </c>
      <c r="D38" s="66">
        <v>131</v>
      </c>
      <c r="E38" s="153"/>
      <c r="F38" s="135">
        <f t="shared" ref="F38:H39" si="11">I38+L38</f>
        <v>2500000</v>
      </c>
      <c r="G38" s="57">
        <f t="shared" si="11"/>
        <v>2500000</v>
      </c>
      <c r="H38" s="132">
        <f t="shared" si="11"/>
        <v>2500000</v>
      </c>
      <c r="I38" s="70">
        <v>2500000</v>
      </c>
      <c r="J38" s="59">
        <v>2500000</v>
      </c>
      <c r="K38" s="59">
        <v>2500000</v>
      </c>
      <c r="L38" s="59"/>
      <c r="M38" s="59"/>
      <c r="N38" s="59"/>
      <c r="O38" s="40">
        <f>ROW()</f>
        <v>38</v>
      </c>
      <c r="P38" s="40"/>
      <c r="Q38" s="39"/>
    </row>
    <row r="39" spans="1:17" ht="12" customHeight="1" x14ac:dyDescent="0.3">
      <c r="A39" s="58" t="str">
        <f t="array" ref="A39">IFERROR(INDEX(КБК!E4:E825,SMALL(IF((($D$39=КБК!F4:F825)*($C$39=КБК!G4:G825)*(NOT(ISERR(SEARCH($O$1,КБК!D4:D825))))),ROW(КБК!E4:E825)-3,""),ROW()-$O$39+1)),"")</f>
        <v>компенсация 000000135.130.0</v>
      </c>
      <c r="B39" s="55" t="str">
        <f t="array" ref="B39">IFERROR(INDEX(КБК!H4:H825,SMALL(IF((($D$39=КБК!F4:F825)*($C$39=КБК!G4:G825)*(NOT(ISERR(SEARCH($O$1,КБК!D4:D825))))),ROW(КБК!E4:E825)-3,""),ROW()-$O$39+1)),"")</f>
        <v>1102</v>
      </c>
      <c r="C39" s="61">
        <v>130</v>
      </c>
      <c r="D39" s="66">
        <v>135</v>
      </c>
      <c r="E39" s="153"/>
      <c r="F39" s="135">
        <f t="shared" si="11"/>
        <v>50000</v>
      </c>
      <c r="G39" s="57">
        <f t="shared" si="11"/>
        <v>50000</v>
      </c>
      <c r="H39" s="132">
        <f t="shared" si="11"/>
        <v>50000</v>
      </c>
      <c r="I39" s="70">
        <v>50000</v>
      </c>
      <c r="J39" s="59">
        <v>50000</v>
      </c>
      <c r="K39" s="59">
        <v>50000</v>
      </c>
      <c r="L39" s="59"/>
      <c r="M39" s="59"/>
      <c r="N39" s="59"/>
      <c r="O39" s="40">
        <f>ROW()</f>
        <v>39</v>
      </c>
      <c r="P39" s="40"/>
      <c r="Q39" s="39"/>
    </row>
    <row r="40" spans="1:17" ht="12" customHeight="1" x14ac:dyDescent="0.3">
      <c r="A40" s="62" t="s">
        <v>298</v>
      </c>
      <c r="B40" s="55" t="s">
        <v>211</v>
      </c>
      <c r="C40" s="61">
        <v>140</v>
      </c>
      <c r="D40" s="66" t="s">
        <v>211</v>
      </c>
      <c r="E40" s="153">
        <v>1300</v>
      </c>
      <c r="F40" s="131">
        <f>SUM(F41:F42)</f>
        <v>0</v>
      </c>
      <c r="G40" s="57">
        <f>SUM(G41:G42)</f>
        <v>0</v>
      </c>
      <c r="H40" s="132">
        <f>SUM(H41:H42)</f>
        <v>0</v>
      </c>
      <c r="I40" s="69"/>
      <c r="J40" s="57"/>
      <c r="K40" s="57"/>
      <c r="L40" s="57"/>
      <c r="M40" s="57"/>
      <c r="N40" s="57"/>
      <c r="O40" s="40">
        <f>ROW()</f>
        <v>40</v>
      </c>
      <c r="P40" s="40"/>
      <c r="Q40" s="39"/>
    </row>
    <row r="41" spans="1:17" ht="12" customHeight="1" x14ac:dyDescent="0.3">
      <c r="A41" s="63" t="str">
        <f t="array" ref="A41:A42">IFERROR(INDEX(КБК!E4:E825,SMALL(IF((($D$40=КБК!F4:F825)*($C$40=КБК!G4:G825)*(NOT(ISERR(SEARCH($O$1,КБК!D4:D825))))),ROW(КБК!E4:E825)-3,""),ROW()-$O$40)),"")</f>
        <v/>
      </c>
      <c r="B41" s="55"/>
      <c r="C41" s="61">
        <v>140</v>
      </c>
      <c r="D41" s="66">
        <v>143</v>
      </c>
      <c r="E41" s="153">
        <v>1310</v>
      </c>
      <c r="F41" s="131">
        <f t="shared" ref="F41:H42" si="12">I41+L41</f>
        <v>0</v>
      </c>
      <c r="G41" s="57">
        <f t="shared" si="12"/>
        <v>0</v>
      </c>
      <c r="H41" s="132">
        <f t="shared" si="12"/>
        <v>0</v>
      </c>
      <c r="I41" s="70"/>
      <c r="J41" s="59"/>
      <c r="K41" s="59"/>
      <c r="L41" s="59"/>
      <c r="M41" s="59"/>
      <c r="N41" s="59"/>
      <c r="O41" s="40"/>
      <c r="P41" s="40"/>
      <c r="Q41" s="39"/>
    </row>
    <row r="42" spans="1:17" ht="12" customHeight="1" x14ac:dyDescent="0.3">
      <c r="A42" s="63" t="str">
        <v/>
      </c>
      <c r="B42" s="55"/>
      <c r="C42" s="61">
        <v>140</v>
      </c>
      <c r="D42" s="66">
        <v>143</v>
      </c>
      <c r="E42" s="153"/>
      <c r="F42" s="131">
        <f t="shared" si="12"/>
        <v>0</v>
      </c>
      <c r="G42" s="57">
        <f t="shared" si="12"/>
        <v>0</v>
      </c>
      <c r="H42" s="132">
        <f t="shared" si="12"/>
        <v>0</v>
      </c>
      <c r="I42" s="70"/>
      <c r="J42" s="59"/>
      <c r="K42" s="59"/>
      <c r="L42" s="59"/>
      <c r="M42" s="59"/>
      <c r="N42" s="59"/>
      <c r="O42" s="40"/>
      <c r="P42" s="40"/>
      <c r="Q42" s="39"/>
    </row>
    <row r="43" spans="1:17" ht="12" customHeight="1" x14ac:dyDescent="0.3">
      <c r="A43" s="60" t="s">
        <v>299</v>
      </c>
      <c r="B43" s="55" t="s">
        <v>211</v>
      </c>
      <c r="C43" s="56">
        <v>150</v>
      </c>
      <c r="D43" s="66" t="s">
        <v>211</v>
      </c>
      <c r="E43" s="153">
        <v>1400</v>
      </c>
      <c r="F43" s="135">
        <f t="shared" ref="F43:N43" si="13">F55+F44+F56</f>
        <v>47426200</v>
      </c>
      <c r="G43" s="57">
        <f t="shared" si="13"/>
        <v>0</v>
      </c>
      <c r="H43" s="132">
        <f t="shared" si="13"/>
        <v>0</v>
      </c>
      <c r="I43" s="72">
        <f t="shared" si="13"/>
        <v>0</v>
      </c>
      <c r="J43" s="57">
        <f t="shared" si="13"/>
        <v>0</v>
      </c>
      <c r="K43" s="57">
        <f t="shared" si="13"/>
        <v>0</v>
      </c>
      <c r="L43" s="57">
        <f t="shared" si="13"/>
        <v>47426200</v>
      </c>
      <c r="M43" s="57">
        <f t="shared" si="13"/>
        <v>0</v>
      </c>
      <c r="N43" s="57">
        <f t="shared" si="13"/>
        <v>0</v>
      </c>
      <c r="O43" s="24">
        <f>ROW()</f>
        <v>43</v>
      </c>
      <c r="P43" s="40"/>
      <c r="Q43" s="39"/>
    </row>
    <row r="44" spans="1:17" ht="12" customHeight="1" x14ac:dyDescent="0.3">
      <c r="A44" s="62" t="s">
        <v>332</v>
      </c>
      <c r="B44" s="55" t="s">
        <v>211</v>
      </c>
      <c r="C44" s="56">
        <v>150</v>
      </c>
      <c r="D44" s="66">
        <v>152</v>
      </c>
      <c r="E44" s="153">
        <v>1410</v>
      </c>
      <c r="F44" s="135">
        <f>SUM(F45:F54)</f>
        <v>47426200</v>
      </c>
      <c r="G44" s="57">
        <f t="shared" ref="G44:N44" si="14">SUM(G45:G54)</f>
        <v>0</v>
      </c>
      <c r="H44" s="136">
        <f t="shared" si="14"/>
        <v>0</v>
      </c>
      <c r="I44" s="72">
        <f t="shared" si="14"/>
        <v>0</v>
      </c>
      <c r="J44" s="57">
        <f t="shared" si="14"/>
        <v>0</v>
      </c>
      <c r="K44" s="57">
        <f t="shared" si="14"/>
        <v>0</v>
      </c>
      <c r="L44" s="57">
        <f t="shared" si="14"/>
        <v>47426200</v>
      </c>
      <c r="M44" s="57">
        <f t="shared" si="14"/>
        <v>0</v>
      </c>
      <c r="N44" s="57">
        <f t="shared" si="14"/>
        <v>0</v>
      </c>
      <c r="O44" s="40">
        <f>ROW()</f>
        <v>44</v>
      </c>
      <c r="P44" s="40"/>
      <c r="Q44" s="39"/>
    </row>
    <row r="45" spans="1:17" ht="12" customHeight="1" x14ac:dyDescent="0.3">
      <c r="A45" s="58" t="str">
        <f t="array" ref="A45:A54">IFERROR(INDEX(КБК!E828:E887,SMALL(IF((($D$44=КБК!F828:F887)*($C$44=КБК!G828:G887)*(NOT(ISERR(SEARCH($O$1,КБК!D828:D887))))),ROW(КБК!E828:E887)-КБК!A828+1,""),ROW()-$O$44)),"")</f>
        <v>городская среда 7770674650.150.0</v>
      </c>
      <c r="B45" s="55" t="str">
        <f t="array" ref="B45:B54">IFERROR(INDEX(КБК!H828:H887,SMALL(IF((($D$44=КБК!F828:F887)*($C$44=КБК!G828:G887)*(NOT(ISERR(SEARCH($O$1,КБК!D828:D887))))),ROW(КБК!E828:E887)-КБК!A828+1,""),ROW()-$O$44)),"")</f>
        <v>0503</v>
      </c>
      <c r="C45" s="56">
        <v>150</v>
      </c>
      <c r="D45" s="66">
        <v>152</v>
      </c>
      <c r="E45" s="153"/>
      <c r="F45" s="135">
        <f>I45+L45</f>
        <v>47426200</v>
      </c>
      <c r="G45" s="57">
        <f t="shared" ref="G45:H54" si="15">J45+M45</f>
        <v>0</v>
      </c>
      <c r="H45" s="132">
        <f t="shared" si="15"/>
        <v>0</v>
      </c>
      <c r="I45" s="70"/>
      <c r="J45" s="59"/>
      <c r="K45" s="59"/>
      <c r="L45" s="59">
        <v>47426200</v>
      </c>
      <c r="M45" s="59"/>
      <c r="N45" s="59"/>
      <c r="O45" s="40"/>
      <c r="P45" s="40"/>
      <c r="Q45" s="39"/>
    </row>
    <row r="46" spans="1:17" ht="12" customHeight="1" x14ac:dyDescent="0.3">
      <c r="A46" s="58" t="str">
        <v/>
      </c>
      <c r="B46" s="55" t="str">
        <v/>
      </c>
      <c r="C46" s="56">
        <v>150</v>
      </c>
      <c r="D46" s="66">
        <v>152</v>
      </c>
      <c r="E46" s="153"/>
      <c r="F46" s="135">
        <f t="shared" ref="F46:F54" si="16">I46+L46</f>
        <v>0</v>
      </c>
      <c r="G46" s="57">
        <f t="shared" si="15"/>
        <v>0</v>
      </c>
      <c r="H46" s="132">
        <f t="shared" si="15"/>
        <v>0</v>
      </c>
      <c r="I46" s="70"/>
      <c r="J46" s="59"/>
      <c r="K46" s="59"/>
      <c r="L46" s="59"/>
      <c r="M46" s="59"/>
      <c r="N46" s="59"/>
      <c r="O46" s="40"/>
      <c r="P46" s="40"/>
      <c r="Q46" s="39"/>
    </row>
    <row r="47" spans="1:17" ht="12" customHeight="1" x14ac:dyDescent="0.3">
      <c r="A47" s="58" t="str">
        <v/>
      </c>
      <c r="B47" s="55" t="str">
        <v/>
      </c>
      <c r="C47" s="56">
        <v>150</v>
      </c>
      <c r="D47" s="66">
        <v>152</v>
      </c>
      <c r="E47" s="153"/>
      <c r="F47" s="135">
        <f t="shared" si="16"/>
        <v>0</v>
      </c>
      <c r="G47" s="57">
        <f t="shared" si="15"/>
        <v>0</v>
      </c>
      <c r="H47" s="132">
        <f t="shared" si="15"/>
        <v>0</v>
      </c>
      <c r="I47" s="70"/>
      <c r="J47" s="59"/>
      <c r="K47" s="59"/>
      <c r="L47" s="59"/>
      <c r="M47" s="59"/>
      <c r="N47" s="59"/>
      <c r="O47" s="40"/>
      <c r="P47" s="40"/>
      <c r="Q47" s="39"/>
    </row>
    <row r="48" spans="1:17" ht="12" customHeight="1" x14ac:dyDescent="0.3">
      <c r="A48" s="58" t="str">
        <v/>
      </c>
      <c r="B48" s="55" t="str">
        <v/>
      </c>
      <c r="C48" s="56">
        <v>150</v>
      </c>
      <c r="D48" s="66">
        <v>152</v>
      </c>
      <c r="E48" s="153"/>
      <c r="F48" s="135">
        <f t="shared" si="16"/>
        <v>0</v>
      </c>
      <c r="G48" s="57">
        <f t="shared" si="15"/>
        <v>0</v>
      </c>
      <c r="H48" s="132">
        <f t="shared" si="15"/>
        <v>0</v>
      </c>
      <c r="I48" s="70"/>
      <c r="J48" s="59"/>
      <c r="K48" s="59"/>
      <c r="L48" s="59"/>
      <c r="M48" s="59"/>
      <c r="N48" s="59"/>
      <c r="O48" s="40"/>
      <c r="P48" s="40"/>
      <c r="Q48" s="39"/>
    </row>
    <row r="49" spans="1:17" ht="12" customHeight="1" x14ac:dyDescent="0.3">
      <c r="A49" s="58" t="str">
        <v/>
      </c>
      <c r="B49" s="55" t="str">
        <v/>
      </c>
      <c r="C49" s="56">
        <v>150</v>
      </c>
      <c r="D49" s="66">
        <v>152</v>
      </c>
      <c r="E49" s="153"/>
      <c r="F49" s="135">
        <f t="shared" si="16"/>
        <v>0</v>
      </c>
      <c r="G49" s="57">
        <f t="shared" si="15"/>
        <v>0</v>
      </c>
      <c r="H49" s="132">
        <f t="shared" si="15"/>
        <v>0</v>
      </c>
      <c r="I49" s="70"/>
      <c r="J49" s="59"/>
      <c r="K49" s="59"/>
      <c r="L49" s="59"/>
      <c r="M49" s="59"/>
      <c r="N49" s="59"/>
      <c r="O49" s="40"/>
      <c r="P49" s="40"/>
      <c r="Q49" s="39"/>
    </row>
    <row r="50" spans="1:17" ht="12" customHeight="1" x14ac:dyDescent="0.3">
      <c r="A50" s="58" t="str">
        <v/>
      </c>
      <c r="B50" s="55" t="str">
        <v/>
      </c>
      <c r="C50" s="56">
        <v>150</v>
      </c>
      <c r="D50" s="66">
        <v>152</v>
      </c>
      <c r="E50" s="153"/>
      <c r="F50" s="135">
        <f t="shared" si="16"/>
        <v>0</v>
      </c>
      <c r="G50" s="57">
        <f t="shared" si="15"/>
        <v>0</v>
      </c>
      <c r="H50" s="132">
        <f t="shared" si="15"/>
        <v>0</v>
      </c>
      <c r="I50" s="70"/>
      <c r="J50" s="59"/>
      <c r="K50" s="59"/>
      <c r="L50" s="59"/>
      <c r="M50" s="59"/>
      <c r="N50" s="59"/>
      <c r="O50" s="40"/>
      <c r="P50" s="40"/>
      <c r="Q50" s="39"/>
    </row>
    <row r="51" spans="1:17" ht="12" customHeight="1" x14ac:dyDescent="0.3">
      <c r="A51" s="58" t="str">
        <v/>
      </c>
      <c r="B51" s="55" t="str">
        <v/>
      </c>
      <c r="C51" s="56">
        <v>150</v>
      </c>
      <c r="D51" s="66">
        <v>152</v>
      </c>
      <c r="E51" s="153"/>
      <c r="F51" s="135">
        <f t="shared" si="16"/>
        <v>0</v>
      </c>
      <c r="G51" s="57">
        <f t="shared" si="15"/>
        <v>0</v>
      </c>
      <c r="H51" s="132">
        <f t="shared" si="15"/>
        <v>0</v>
      </c>
      <c r="I51" s="70"/>
      <c r="J51" s="59"/>
      <c r="K51" s="59"/>
      <c r="L51" s="59"/>
      <c r="M51" s="59"/>
      <c r="N51" s="59"/>
      <c r="O51" s="40"/>
      <c r="P51" s="40"/>
      <c r="Q51" s="39"/>
    </row>
    <row r="52" spans="1:17" ht="12" customHeight="1" x14ac:dyDescent="0.3">
      <c r="A52" s="58" t="str">
        <v/>
      </c>
      <c r="B52" s="55" t="str">
        <v/>
      </c>
      <c r="C52" s="56">
        <v>150</v>
      </c>
      <c r="D52" s="66">
        <v>152</v>
      </c>
      <c r="E52" s="153"/>
      <c r="F52" s="135">
        <f t="shared" si="16"/>
        <v>0</v>
      </c>
      <c r="G52" s="57">
        <f t="shared" si="15"/>
        <v>0</v>
      </c>
      <c r="H52" s="132">
        <f t="shared" si="15"/>
        <v>0</v>
      </c>
      <c r="I52" s="70"/>
      <c r="J52" s="59"/>
      <c r="K52" s="59"/>
      <c r="L52" s="59"/>
      <c r="M52" s="59"/>
      <c r="N52" s="59"/>
      <c r="O52" s="40"/>
      <c r="P52" s="40"/>
      <c r="Q52" s="39"/>
    </row>
    <row r="53" spans="1:17" ht="12" customHeight="1" x14ac:dyDescent="0.3">
      <c r="A53" s="58" t="str">
        <v/>
      </c>
      <c r="B53" s="55" t="str">
        <v/>
      </c>
      <c r="C53" s="56">
        <v>150</v>
      </c>
      <c r="D53" s="66">
        <v>152</v>
      </c>
      <c r="E53" s="153"/>
      <c r="F53" s="135">
        <f t="shared" si="16"/>
        <v>0</v>
      </c>
      <c r="G53" s="57">
        <f t="shared" si="15"/>
        <v>0</v>
      </c>
      <c r="H53" s="132">
        <f t="shared" si="15"/>
        <v>0</v>
      </c>
      <c r="I53" s="70"/>
      <c r="J53" s="59"/>
      <c r="K53" s="59"/>
      <c r="L53" s="59"/>
      <c r="M53" s="59"/>
      <c r="N53" s="59"/>
      <c r="O53" s="40"/>
      <c r="P53" s="40"/>
      <c r="Q53" s="39"/>
    </row>
    <row r="54" spans="1:17" ht="12" customHeight="1" x14ac:dyDescent="0.3">
      <c r="A54" s="58" t="str">
        <v/>
      </c>
      <c r="B54" s="55" t="str">
        <v/>
      </c>
      <c r="C54" s="56">
        <v>150</v>
      </c>
      <c r="D54" s="66">
        <v>152</v>
      </c>
      <c r="E54" s="153"/>
      <c r="F54" s="135">
        <f t="shared" si="16"/>
        <v>0</v>
      </c>
      <c r="G54" s="57">
        <f t="shared" si="15"/>
        <v>0</v>
      </c>
      <c r="H54" s="132">
        <f t="shared" si="15"/>
        <v>0</v>
      </c>
      <c r="I54" s="70"/>
      <c r="J54" s="59"/>
      <c r="K54" s="59"/>
      <c r="L54" s="59"/>
      <c r="M54" s="59"/>
      <c r="N54" s="59"/>
      <c r="O54" s="40"/>
      <c r="P54" s="40"/>
      <c r="Q54" s="39"/>
    </row>
    <row r="55" spans="1:17" ht="12" customHeight="1" x14ac:dyDescent="0.3">
      <c r="A55" s="58" t="str">
        <f t="array" ref="A55">IFERROR(INDEX(КБК!E4:E389,SMALL(IF((($D$55=КБК!F4:F389)*($C$55=КБК!G4:G389)*(NOT(ISERR(SEARCH($O$1,КБК!D4:D389))))),ROW(КБК!E4:E389)-КБК!A4+1,""),ROW()-$O$55+1)),"")</f>
        <v>спонсор 0000000155.150.0</v>
      </c>
      <c r="B55" s="55" t="str">
        <f>IFERROR(INDEX(КБК!H4:H389,SMALL(IF((($D$55=КБК!F4:F389)*($C$55=КБК!G4:G389)*(NOT(ISERR(SEARCH($O$1,КБК!D4:D389))))),ROW(КБК!E4:E389)-КБК!A4+1,""),ROW()-$O$55+1)),"")</f>
        <v/>
      </c>
      <c r="C55" s="56">
        <v>150</v>
      </c>
      <c r="D55" s="66">
        <v>155</v>
      </c>
      <c r="E55" s="153"/>
      <c r="F55" s="135">
        <f>I55+L55</f>
        <v>0</v>
      </c>
      <c r="G55" s="57">
        <f>J55+M55</f>
        <v>0</v>
      </c>
      <c r="H55" s="132">
        <f>K55+N55</f>
        <v>0</v>
      </c>
      <c r="I55" s="70"/>
      <c r="J55" s="59"/>
      <c r="K55" s="59"/>
      <c r="L55" s="59"/>
      <c r="M55" s="59"/>
      <c r="N55" s="59"/>
      <c r="O55" s="40">
        <f>ROW()</f>
        <v>55</v>
      </c>
      <c r="P55" s="40"/>
      <c r="Q55" s="39"/>
    </row>
    <row r="56" spans="1:17" ht="12" customHeight="1" x14ac:dyDescent="0.3">
      <c r="A56" s="62" t="s">
        <v>337</v>
      </c>
      <c r="B56" s="55" t="s">
        <v>211</v>
      </c>
      <c r="C56" s="56">
        <v>150</v>
      </c>
      <c r="D56" s="66">
        <v>162</v>
      </c>
      <c r="E56" s="153">
        <v>1420</v>
      </c>
      <c r="F56" s="135">
        <f>SUM(F57:F60)</f>
        <v>0</v>
      </c>
      <c r="G56" s="57">
        <f t="shared" ref="G56:N56" si="17">SUM(G57:G60)</f>
        <v>0</v>
      </c>
      <c r="H56" s="132">
        <f t="shared" si="17"/>
        <v>0</v>
      </c>
      <c r="I56" s="69">
        <f t="shared" si="17"/>
        <v>0</v>
      </c>
      <c r="J56" s="57">
        <f t="shared" si="17"/>
        <v>0</v>
      </c>
      <c r="K56" s="57">
        <f t="shared" si="17"/>
        <v>0</v>
      </c>
      <c r="L56" s="57">
        <f t="shared" si="17"/>
        <v>0</v>
      </c>
      <c r="M56" s="57">
        <f t="shared" si="17"/>
        <v>0</v>
      </c>
      <c r="N56" s="57">
        <f t="shared" si="17"/>
        <v>0</v>
      </c>
      <c r="O56" s="40">
        <f>ROW()</f>
        <v>56</v>
      </c>
      <c r="P56" s="40"/>
      <c r="Q56" s="39"/>
    </row>
    <row r="57" spans="1:17" ht="12" customHeight="1" x14ac:dyDescent="0.3">
      <c r="A57" s="58" t="str">
        <f t="array" ref="A57:A60">IFERROR(INDEX(КБК!E828:E887,SMALL(IF((($D$56=КБК!F828:F887)*($C$56=КБК!G828:G887)*(NOT(ISERR(SEARCH($O$1,КБК!D828:D887))))),ROW(КБК!E828:E887)-КБК!A828+1,""),ROW()-$O$56)),"")</f>
        <v/>
      </c>
      <c r="B57" s="55" t="str">
        <f t="array" ref="B57:B60">IFERROR(INDEX(КБК!H876:H887,SMALL(IF((($D$56=КБК!F876:F887)*($C$56=КБК!G876:G887)*(NOT(ISERR(SEARCH($O$1,КБК!D876:D887))))),ROW(КБК!E876:E887)-КБК!$A$828+1,""),ROW()-$O$56)),"")</f>
        <v/>
      </c>
      <c r="C57" s="56">
        <v>150</v>
      </c>
      <c r="D57" s="66">
        <v>162</v>
      </c>
      <c r="E57" s="153"/>
      <c r="F57" s="135">
        <f>I57+L57</f>
        <v>0</v>
      </c>
      <c r="G57" s="57">
        <f t="shared" ref="G57:H60" si="18">J57+M57</f>
        <v>0</v>
      </c>
      <c r="H57" s="132">
        <f t="shared" si="18"/>
        <v>0</v>
      </c>
      <c r="I57" s="70"/>
      <c r="J57" s="59"/>
      <c r="K57" s="59"/>
      <c r="L57" s="59"/>
      <c r="M57" s="59"/>
      <c r="N57" s="59"/>
      <c r="O57" s="40"/>
      <c r="P57" s="40"/>
      <c r="Q57" s="39"/>
    </row>
    <row r="58" spans="1:17" ht="12" customHeight="1" x14ac:dyDescent="0.3">
      <c r="A58" s="58" t="str">
        <v/>
      </c>
      <c r="B58" s="55" t="str">
        <v/>
      </c>
      <c r="C58" s="56">
        <v>150</v>
      </c>
      <c r="D58" s="66">
        <v>162</v>
      </c>
      <c r="E58" s="153"/>
      <c r="F58" s="135">
        <f>I58+L58</f>
        <v>0</v>
      </c>
      <c r="G58" s="57">
        <f t="shared" si="18"/>
        <v>0</v>
      </c>
      <c r="H58" s="132">
        <f t="shared" si="18"/>
        <v>0</v>
      </c>
      <c r="I58" s="70"/>
      <c r="J58" s="59"/>
      <c r="K58" s="59"/>
      <c r="L58" s="59"/>
      <c r="M58" s="59"/>
      <c r="N58" s="59"/>
      <c r="O58" s="40"/>
      <c r="P58" s="40"/>
      <c r="Q58" s="39"/>
    </row>
    <row r="59" spans="1:17" ht="12" customHeight="1" x14ac:dyDescent="0.3">
      <c r="A59" s="58" t="str">
        <v/>
      </c>
      <c r="B59" s="55" t="str">
        <v/>
      </c>
      <c r="C59" s="56">
        <v>150</v>
      </c>
      <c r="D59" s="66">
        <v>162</v>
      </c>
      <c r="E59" s="153"/>
      <c r="F59" s="135">
        <f>I59+L59</f>
        <v>0</v>
      </c>
      <c r="G59" s="57">
        <f t="shared" si="18"/>
        <v>0</v>
      </c>
      <c r="H59" s="132">
        <f t="shared" si="18"/>
        <v>0</v>
      </c>
      <c r="I59" s="70"/>
      <c r="J59" s="59"/>
      <c r="K59" s="59"/>
      <c r="L59" s="59"/>
      <c r="M59" s="59"/>
      <c r="N59" s="59"/>
      <c r="O59" s="40"/>
      <c r="P59" s="40"/>
      <c r="Q59" s="39"/>
    </row>
    <row r="60" spans="1:17" ht="12" customHeight="1" x14ac:dyDescent="0.3">
      <c r="A60" s="58" t="str">
        <v/>
      </c>
      <c r="B60" s="55" t="str">
        <v/>
      </c>
      <c r="C60" s="56">
        <v>150</v>
      </c>
      <c r="D60" s="66">
        <v>162</v>
      </c>
      <c r="E60" s="153"/>
      <c r="F60" s="135">
        <f>I60+L60</f>
        <v>0</v>
      </c>
      <c r="G60" s="57">
        <f t="shared" si="18"/>
        <v>0</v>
      </c>
      <c r="H60" s="132">
        <f t="shared" si="18"/>
        <v>0</v>
      </c>
      <c r="I60" s="70"/>
      <c r="J60" s="59"/>
      <c r="K60" s="59"/>
      <c r="L60" s="59"/>
      <c r="M60" s="59"/>
      <c r="N60" s="59"/>
      <c r="O60" s="40"/>
      <c r="P60" s="40"/>
      <c r="Q60" s="39"/>
    </row>
    <row r="61" spans="1:17" ht="12" customHeight="1" x14ac:dyDescent="0.3">
      <c r="A61" s="62" t="s">
        <v>331</v>
      </c>
      <c r="B61" s="55" t="s">
        <v>211</v>
      </c>
      <c r="C61" s="56">
        <v>180</v>
      </c>
      <c r="D61" s="66" t="s">
        <v>211</v>
      </c>
      <c r="E61" s="153">
        <v>1500</v>
      </c>
      <c r="F61" s="135">
        <f>SUM(F62:F63)</f>
        <v>0</v>
      </c>
      <c r="G61" s="57">
        <f t="shared" ref="G61:N61" si="19">SUM(G62:G63)</f>
        <v>0</v>
      </c>
      <c r="H61" s="132">
        <f t="shared" si="19"/>
        <v>0</v>
      </c>
      <c r="I61" s="72">
        <f t="shared" si="19"/>
        <v>0</v>
      </c>
      <c r="J61" s="57">
        <f t="shared" si="19"/>
        <v>0</v>
      </c>
      <c r="K61" s="57">
        <f t="shared" si="19"/>
        <v>0</v>
      </c>
      <c r="L61" s="57">
        <f t="shared" si="19"/>
        <v>0</v>
      </c>
      <c r="M61" s="57">
        <f t="shared" si="19"/>
        <v>0</v>
      </c>
      <c r="N61" s="57">
        <f t="shared" si="19"/>
        <v>0</v>
      </c>
      <c r="O61" s="40"/>
      <c r="P61" s="40"/>
      <c r="Q61" s="39"/>
    </row>
    <row r="62" spans="1:17" ht="12" customHeight="1" x14ac:dyDescent="0.3">
      <c r="A62" s="111"/>
      <c r="B62" s="55"/>
      <c r="C62" s="56">
        <v>180</v>
      </c>
      <c r="D62" s="66"/>
      <c r="E62" s="153"/>
      <c r="F62" s="135">
        <f t="shared" ref="F62:H63" si="20">I62+L62</f>
        <v>0</v>
      </c>
      <c r="G62" s="57">
        <f t="shared" si="20"/>
        <v>0</v>
      </c>
      <c r="H62" s="132">
        <f t="shared" si="20"/>
        <v>0</v>
      </c>
      <c r="I62" s="70"/>
      <c r="J62" s="59"/>
      <c r="K62" s="59"/>
      <c r="L62" s="59"/>
      <c r="M62" s="59"/>
      <c r="N62" s="59"/>
      <c r="O62" s="40"/>
      <c r="P62" s="40"/>
      <c r="Q62" s="39"/>
    </row>
    <row r="63" spans="1:17" ht="12" customHeight="1" x14ac:dyDescent="0.3">
      <c r="A63" s="58"/>
      <c r="B63" s="55"/>
      <c r="C63" s="56">
        <v>180</v>
      </c>
      <c r="D63" s="66"/>
      <c r="E63" s="153"/>
      <c r="F63" s="135">
        <f t="shared" si="20"/>
        <v>0</v>
      </c>
      <c r="G63" s="57">
        <f t="shared" si="20"/>
        <v>0</v>
      </c>
      <c r="H63" s="132">
        <f t="shared" si="20"/>
        <v>0</v>
      </c>
      <c r="I63" s="70"/>
      <c r="J63" s="59"/>
      <c r="K63" s="59"/>
      <c r="L63" s="59"/>
      <c r="M63" s="59"/>
      <c r="N63" s="59"/>
      <c r="O63" s="40"/>
      <c r="P63" s="40"/>
      <c r="Q63" s="39"/>
    </row>
    <row r="64" spans="1:17" ht="12" customHeight="1" x14ac:dyDescent="0.3">
      <c r="A64" s="62" t="s">
        <v>333</v>
      </c>
      <c r="B64" s="55" t="s">
        <v>211</v>
      </c>
      <c r="C64" s="61" t="s">
        <v>211</v>
      </c>
      <c r="D64" s="66" t="s">
        <v>211</v>
      </c>
      <c r="E64" s="153">
        <v>1900</v>
      </c>
      <c r="F64" s="131"/>
      <c r="G64" s="57"/>
      <c r="H64" s="132"/>
      <c r="I64" s="69"/>
      <c r="J64" s="57"/>
      <c r="K64" s="57"/>
      <c r="L64" s="57"/>
      <c r="M64" s="57"/>
      <c r="N64" s="57"/>
      <c r="O64" s="40"/>
      <c r="P64" s="40"/>
      <c r="Q64" s="39"/>
    </row>
    <row r="65" spans="1:17" ht="12" customHeight="1" x14ac:dyDescent="0.3">
      <c r="A65" s="62" t="s">
        <v>711</v>
      </c>
      <c r="B65" s="55" t="s">
        <v>211</v>
      </c>
      <c r="C65" s="61" t="s">
        <v>211</v>
      </c>
      <c r="D65" s="66" t="s">
        <v>211</v>
      </c>
      <c r="E65" s="153">
        <v>1980</v>
      </c>
      <c r="F65" s="135">
        <f>SUM(F66)</f>
        <v>0</v>
      </c>
      <c r="G65" s="57">
        <f>SUM(G66)</f>
        <v>0</v>
      </c>
      <c r="H65" s="136">
        <f>SUM(H66)</f>
        <v>0</v>
      </c>
      <c r="I65" s="72">
        <f t="shared" ref="I65:N65" si="21">SUM(I66)</f>
        <v>0</v>
      </c>
      <c r="J65" s="57">
        <f t="shared" si="21"/>
        <v>0</v>
      </c>
      <c r="K65" s="57">
        <f t="shared" si="21"/>
        <v>0</v>
      </c>
      <c r="L65" s="57">
        <f t="shared" si="21"/>
        <v>0</v>
      </c>
      <c r="M65" s="57">
        <f t="shared" si="21"/>
        <v>0</v>
      </c>
      <c r="N65" s="57">
        <f t="shared" si="21"/>
        <v>0</v>
      </c>
      <c r="O65" s="40"/>
      <c r="P65" s="40"/>
      <c r="Q65" s="39"/>
    </row>
    <row r="66" spans="1:17" ht="12" customHeight="1" x14ac:dyDescent="0.3">
      <c r="A66" s="182" t="s">
        <v>584</v>
      </c>
      <c r="B66" s="55" t="s">
        <v>211</v>
      </c>
      <c r="C66" s="56">
        <v>510</v>
      </c>
      <c r="D66" s="66">
        <v>510</v>
      </c>
      <c r="E66" s="153">
        <v>1981</v>
      </c>
      <c r="F66" s="135">
        <f>SUM(F67:F73)</f>
        <v>0</v>
      </c>
      <c r="G66" s="57">
        <f t="shared" ref="G66:N66" si="22">SUM(G67:G73)</f>
        <v>0</v>
      </c>
      <c r="H66" s="136">
        <f t="shared" si="22"/>
        <v>0</v>
      </c>
      <c r="I66" s="72">
        <f t="shared" si="22"/>
        <v>0</v>
      </c>
      <c r="J66" s="57">
        <f t="shared" si="22"/>
        <v>0</v>
      </c>
      <c r="K66" s="57">
        <f t="shared" si="22"/>
        <v>0</v>
      </c>
      <c r="L66" s="57">
        <f t="shared" si="22"/>
        <v>0</v>
      </c>
      <c r="M66" s="57">
        <f t="shared" si="22"/>
        <v>0</v>
      </c>
      <c r="N66" s="57">
        <f t="shared" si="22"/>
        <v>0</v>
      </c>
      <c r="O66" s="40">
        <f>ROW()</f>
        <v>66</v>
      </c>
      <c r="P66" s="40"/>
      <c r="Q66" s="39"/>
    </row>
    <row r="67" spans="1:17" ht="12" customHeight="1" x14ac:dyDescent="0.3">
      <c r="A67" s="183" t="str">
        <f t="array" ref="A67:A73">IFERROR(INDEX(КБК!E826:E827,SMALL(IF((($D$66=КБК!F826:F827)*($C$66=КБК!G826:G827)*(NOT(ISERR(SEARCH($O$1,КБК!D826:D827))))),ROW(КБК!E826:E827)-КБК!A826+1,""),ROW()-$O$66)),"")</f>
        <v/>
      </c>
      <c r="B67" s="55" t="str">
        <f t="array" ref="B67:B73">IFERROR(INDEX(КБК!H826:H827,SMALL(IF((($D$66=КБК!F826:F827)*($C$66=КБК!G826:G827)*(NOT(ISERR(SEARCH($O$1,КБК!D826:D827))))),ROW(КБК!E826:E827)-КБК!A826+1,""),ROW()-$O$66)),"")</f>
        <v/>
      </c>
      <c r="C67" s="56">
        <v>510</v>
      </c>
      <c r="D67" s="66">
        <v>510</v>
      </c>
      <c r="E67" s="153"/>
      <c r="F67" s="135">
        <f>I67+L67</f>
        <v>0</v>
      </c>
      <c r="G67" s="57">
        <f t="shared" ref="G67:H73" si="23">J67+M67</f>
        <v>0</v>
      </c>
      <c r="H67" s="132">
        <f t="shared" si="23"/>
        <v>0</v>
      </c>
      <c r="I67" s="70"/>
      <c r="J67" s="70"/>
      <c r="K67" s="70"/>
      <c r="L67" s="59"/>
      <c r="M67" s="59"/>
      <c r="N67" s="59"/>
      <c r="O67" s="40"/>
      <c r="P67" s="40"/>
      <c r="Q67" s="39"/>
    </row>
    <row r="68" spans="1:17" ht="12" customHeight="1" x14ac:dyDescent="0.3">
      <c r="A68" s="183" t="str">
        <v/>
      </c>
      <c r="B68" s="55" t="str">
        <v/>
      </c>
      <c r="C68" s="56">
        <v>510</v>
      </c>
      <c r="D68" s="66">
        <v>510</v>
      </c>
      <c r="E68" s="153"/>
      <c r="F68" s="135">
        <f t="shared" ref="F68:F73" si="24">I68+L68</f>
        <v>0</v>
      </c>
      <c r="G68" s="57">
        <f t="shared" si="23"/>
        <v>0</v>
      </c>
      <c r="H68" s="132">
        <f t="shared" si="23"/>
        <v>0</v>
      </c>
      <c r="I68" s="70"/>
      <c r="J68" s="70"/>
      <c r="K68" s="70"/>
      <c r="L68" s="59"/>
      <c r="M68" s="59"/>
      <c r="N68" s="59"/>
      <c r="O68" s="40"/>
      <c r="P68" s="40"/>
      <c r="Q68" s="39"/>
    </row>
    <row r="69" spans="1:17" ht="12" customHeight="1" x14ac:dyDescent="0.3">
      <c r="A69" s="183" t="str">
        <v/>
      </c>
      <c r="B69" s="55" t="str">
        <v/>
      </c>
      <c r="C69" s="56">
        <v>510</v>
      </c>
      <c r="D69" s="66">
        <v>510</v>
      </c>
      <c r="E69" s="153"/>
      <c r="F69" s="135">
        <f t="shared" si="24"/>
        <v>0</v>
      </c>
      <c r="G69" s="57">
        <f t="shared" si="23"/>
        <v>0</v>
      </c>
      <c r="H69" s="132">
        <f t="shared" si="23"/>
        <v>0</v>
      </c>
      <c r="I69" s="70"/>
      <c r="J69" s="70"/>
      <c r="K69" s="70"/>
      <c r="L69" s="59"/>
      <c r="M69" s="59"/>
      <c r="N69" s="59"/>
      <c r="O69" s="40"/>
      <c r="P69" s="40"/>
      <c r="Q69" s="39"/>
    </row>
    <row r="70" spans="1:17" ht="12" customHeight="1" x14ac:dyDescent="0.3">
      <c r="A70" s="183" t="str">
        <v/>
      </c>
      <c r="B70" s="55" t="str">
        <v/>
      </c>
      <c r="C70" s="56">
        <v>510</v>
      </c>
      <c r="D70" s="66">
        <v>510</v>
      </c>
      <c r="E70" s="153"/>
      <c r="F70" s="135">
        <f t="shared" si="24"/>
        <v>0</v>
      </c>
      <c r="G70" s="57">
        <f t="shared" si="23"/>
        <v>0</v>
      </c>
      <c r="H70" s="132">
        <f t="shared" si="23"/>
        <v>0</v>
      </c>
      <c r="I70" s="70"/>
      <c r="J70" s="70"/>
      <c r="K70" s="70"/>
      <c r="L70" s="59"/>
      <c r="M70" s="59"/>
      <c r="N70" s="59"/>
      <c r="O70" s="40"/>
      <c r="P70" s="40"/>
      <c r="Q70" s="39"/>
    </row>
    <row r="71" spans="1:17" ht="12" customHeight="1" x14ac:dyDescent="0.3">
      <c r="A71" s="183" t="str">
        <v/>
      </c>
      <c r="B71" s="55" t="str">
        <v/>
      </c>
      <c r="C71" s="56">
        <v>510</v>
      </c>
      <c r="D71" s="66">
        <v>510</v>
      </c>
      <c r="E71" s="153"/>
      <c r="F71" s="135">
        <f t="shared" si="24"/>
        <v>0</v>
      </c>
      <c r="G71" s="57">
        <f t="shared" si="23"/>
        <v>0</v>
      </c>
      <c r="H71" s="132">
        <f t="shared" si="23"/>
        <v>0</v>
      </c>
      <c r="I71" s="70"/>
      <c r="J71" s="70"/>
      <c r="K71" s="70"/>
      <c r="L71" s="59"/>
      <c r="M71" s="59"/>
      <c r="N71" s="59"/>
      <c r="O71" s="40"/>
      <c r="P71" s="40"/>
      <c r="Q71" s="39"/>
    </row>
    <row r="72" spans="1:17" ht="12" customHeight="1" x14ac:dyDescent="0.3">
      <c r="A72" s="183" t="str">
        <v/>
      </c>
      <c r="B72" s="55" t="str">
        <v/>
      </c>
      <c r="C72" s="56">
        <v>510</v>
      </c>
      <c r="D72" s="66">
        <v>510</v>
      </c>
      <c r="E72" s="153"/>
      <c r="F72" s="135">
        <f t="shared" si="24"/>
        <v>0</v>
      </c>
      <c r="G72" s="57">
        <f t="shared" si="23"/>
        <v>0</v>
      </c>
      <c r="H72" s="132">
        <f t="shared" si="23"/>
        <v>0</v>
      </c>
      <c r="I72" s="70"/>
      <c r="J72" s="70"/>
      <c r="K72" s="70"/>
      <c r="L72" s="59"/>
      <c r="M72" s="59"/>
      <c r="N72" s="59"/>
      <c r="O72" s="40"/>
      <c r="P72" s="40"/>
      <c r="Q72" s="39"/>
    </row>
    <row r="73" spans="1:17" ht="12" customHeight="1" thickBot="1" x14ac:dyDescent="0.35">
      <c r="A73" s="184" t="str">
        <v/>
      </c>
      <c r="B73" s="113" t="str">
        <v/>
      </c>
      <c r="C73" s="114">
        <v>510</v>
      </c>
      <c r="D73" s="115">
        <v>510</v>
      </c>
      <c r="E73" s="154"/>
      <c r="F73" s="185">
        <f t="shared" si="24"/>
        <v>0</v>
      </c>
      <c r="G73" s="73">
        <f t="shared" si="23"/>
        <v>0</v>
      </c>
      <c r="H73" s="134">
        <f t="shared" si="23"/>
        <v>0</v>
      </c>
      <c r="I73" s="116"/>
      <c r="J73" s="116"/>
      <c r="K73" s="116"/>
      <c r="L73" s="74"/>
      <c r="M73" s="74"/>
      <c r="N73" s="74"/>
      <c r="O73" s="40"/>
      <c r="P73" s="40"/>
      <c r="Q73" s="39"/>
    </row>
    <row r="74" spans="1:17" ht="12" customHeight="1" x14ac:dyDescent="0.3">
      <c r="A74" s="143" t="s">
        <v>302</v>
      </c>
      <c r="B74" s="138" t="s">
        <v>211</v>
      </c>
      <c r="C74" s="144" t="s">
        <v>211</v>
      </c>
      <c r="D74" s="145" t="s">
        <v>211</v>
      </c>
      <c r="E74" s="155">
        <v>2000</v>
      </c>
      <c r="F74" s="139">
        <f t="shared" ref="F74:N74" si="25">F75+F116+F154+F128+F162+F147</f>
        <v>151326779.16</v>
      </c>
      <c r="G74" s="140">
        <f t="shared" si="25"/>
        <v>58849600</v>
      </c>
      <c r="H74" s="141">
        <f t="shared" si="25"/>
        <v>58849600</v>
      </c>
      <c r="I74" s="142">
        <f t="shared" si="25"/>
        <v>103925579.16</v>
      </c>
      <c r="J74" s="140">
        <f t="shared" si="25"/>
        <v>58849600</v>
      </c>
      <c r="K74" s="140">
        <f t="shared" si="25"/>
        <v>58849600</v>
      </c>
      <c r="L74" s="140">
        <f t="shared" si="25"/>
        <v>47401200</v>
      </c>
      <c r="M74" s="140">
        <f t="shared" si="25"/>
        <v>0</v>
      </c>
      <c r="N74" s="140">
        <f t="shared" si="25"/>
        <v>0</v>
      </c>
      <c r="O74" s="40"/>
      <c r="P74" s="40"/>
      <c r="Q74" s="39"/>
    </row>
    <row r="75" spans="1:17" ht="12" customHeight="1" x14ac:dyDescent="0.3">
      <c r="A75" s="60" t="s">
        <v>303</v>
      </c>
      <c r="B75" s="55" t="s">
        <v>211</v>
      </c>
      <c r="C75" s="56">
        <v>100</v>
      </c>
      <c r="D75" s="68" t="s">
        <v>211</v>
      </c>
      <c r="E75" s="157">
        <v>2100</v>
      </c>
      <c r="F75" s="131">
        <f t="shared" ref="F75:N75" si="26">F76+F90+F98+F101</f>
        <v>33699020</v>
      </c>
      <c r="G75" s="57">
        <f t="shared" si="26"/>
        <v>33699020</v>
      </c>
      <c r="H75" s="132">
        <f t="shared" si="26"/>
        <v>33699020</v>
      </c>
      <c r="I75" s="69">
        <f t="shared" si="26"/>
        <v>33699020</v>
      </c>
      <c r="J75" s="57">
        <f t="shared" si="26"/>
        <v>33699020</v>
      </c>
      <c r="K75" s="57">
        <f t="shared" si="26"/>
        <v>33699020</v>
      </c>
      <c r="L75" s="57">
        <f t="shared" si="26"/>
        <v>0</v>
      </c>
      <c r="M75" s="57">
        <f t="shared" si="26"/>
        <v>0</v>
      </c>
      <c r="N75" s="57">
        <f t="shared" si="26"/>
        <v>0</v>
      </c>
      <c r="O75" s="40"/>
      <c r="P75" s="40"/>
      <c r="Q75" s="39"/>
    </row>
    <row r="76" spans="1:17" ht="12" customHeight="1" x14ac:dyDescent="0.3">
      <c r="A76" s="62" t="s">
        <v>305</v>
      </c>
      <c r="B76" s="55" t="s">
        <v>211</v>
      </c>
      <c r="C76" s="56">
        <v>111</v>
      </c>
      <c r="D76" s="68">
        <v>211</v>
      </c>
      <c r="E76" s="157">
        <v>2110</v>
      </c>
      <c r="F76" s="135">
        <f>SUM(F77:F89)</f>
        <v>25622020</v>
      </c>
      <c r="G76" s="57">
        <f t="shared" ref="G76:N76" si="27">SUM(G77:G89)</f>
        <v>25622020</v>
      </c>
      <c r="H76" s="72">
        <f t="shared" si="27"/>
        <v>25622020</v>
      </c>
      <c r="I76" s="135">
        <f t="shared" si="27"/>
        <v>25622020</v>
      </c>
      <c r="J76" s="57">
        <f t="shared" si="27"/>
        <v>25622020</v>
      </c>
      <c r="K76" s="57">
        <f t="shared" si="27"/>
        <v>25622020</v>
      </c>
      <c r="L76" s="57">
        <f t="shared" si="27"/>
        <v>0</v>
      </c>
      <c r="M76" s="57">
        <f t="shared" si="27"/>
        <v>0</v>
      </c>
      <c r="N76" s="72">
        <f t="shared" si="27"/>
        <v>0</v>
      </c>
      <c r="O76" s="40">
        <f>ROW()</f>
        <v>76</v>
      </c>
      <c r="P76" s="40"/>
      <c r="Q76" s="39"/>
    </row>
    <row r="77" spans="1:17" ht="12" customHeight="1" x14ac:dyDescent="0.3">
      <c r="A77" s="58" t="str">
        <f t="array" ref="A77:A86">IFERROR(INDEX(КБК!E4:E887,SMALL(IF((($D$76=КБК!F4:F887)*($C$76=КБК!G4:G887)*(NOT(ISERR(SEARCH($O$1,КБК!D4:D887))))),ROW(КБК!E4:E887)-3,""),ROW()-$O$76)),"")</f>
        <v>доходы 0000000131.111.0</v>
      </c>
      <c r="B77" s="55" t="str">
        <f t="array" ref="B77:B86">IFERROR(INDEX(КБК!H4:H887,SMALL(IF((($D$76=КБК!F4:F887)*($C$76=КБК!G4:G887)*(NOT(ISERR(SEARCH($O$1,КБК!D4:D887))))),ROW(КБК!E4:E887)-3,""),ROW()-$O$76)),"")</f>
        <v>1102</v>
      </c>
      <c r="C77" s="56">
        <v>111</v>
      </c>
      <c r="D77" s="68">
        <v>211</v>
      </c>
      <c r="E77" s="157"/>
      <c r="F77" s="131">
        <f>I77+L77</f>
        <v>1123500</v>
      </c>
      <c r="G77" s="57">
        <f t="shared" ref="G77:H86" si="28">J77+M77</f>
        <v>1123500</v>
      </c>
      <c r="H77" s="132">
        <f t="shared" si="28"/>
        <v>1123500</v>
      </c>
      <c r="I77" s="70">
        <v>1123500</v>
      </c>
      <c r="J77" s="59">
        <v>1123500</v>
      </c>
      <c r="K77" s="59">
        <v>1123500</v>
      </c>
      <c r="L77" s="59"/>
      <c r="M77" s="59"/>
      <c r="N77" s="59"/>
      <c r="O77" s="40"/>
      <c r="P77" s="40"/>
      <c r="Q77" s="39"/>
    </row>
    <row r="78" spans="1:17" ht="12" customHeight="1" x14ac:dyDescent="0.3">
      <c r="A78" s="58" t="str">
        <v>учащийся 0120823590.111.0</v>
      </c>
      <c r="B78" s="55" t="str">
        <v>0703</v>
      </c>
      <c r="C78" s="56">
        <v>111</v>
      </c>
      <c r="D78" s="68">
        <v>211</v>
      </c>
      <c r="E78" s="157"/>
      <c r="F78" s="131">
        <f t="shared" ref="F78:F86" si="29">I78+L78</f>
        <v>0</v>
      </c>
      <c r="G78" s="57">
        <f t="shared" si="28"/>
        <v>0</v>
      </c>
      <c r="H78" s="132">
        <f t="shared" si="28"/>
        <v>0</v>
      </c>
      <c r="I78" s="70"/>
      <c r="J78" s="59"/>
      <c r="K78" s="59"/>
      <c r="L78" s="59"/>
      <c r="M78" s="59"/>
      <c r="N78" s="59"/>
      <c r="O78" s="40"/>
      <c r="P78" s="40"/>
      <c r="Q78" s="39"/>
    </row>
    <row r="79" spans="1:17" ht="12" customHeight="1" x14ac:dyDescent="0.3">
      <c r="A79" s="58" t="str">
        <v>спорт 1130387590.111.0</v>
      </c>
      <c r="B79" s="55" t="str">
        <v>0703</v>
      </c>
      <c r="C79" s="56">
        <v>111</v>
      </c>
      <c r="D79" s="68">
        <v>211</v>
      </c>
      <c r="E79" s="157"/>
      <c r="F79" s="131">
        <f t="shared" si="29"/>
        <v>5990700</v>
      </c>
      <c r="G79" s="57">
        <f t="shared" si="28"/>
        <v>5990700</v>
      </c>
      <c r="H79" s="132">
        <f t="shared" si="28"/>
        <v>5990700</v>
      </c>
      <c r="I79" s="70">
        <v>5990700</v>
      </c>
      <c r="J79" s="59">
        <v>5990700</v>
      </c>
      <c r="K79" s="59">
        <v>5990700</v>
      </c>
      <c r="L79" s="59"/>
      <c r="M79" s="59"/>
      <c r="N79" s="59"/>
      <c r="O79" s="40"/>
      <c r="P79" s="40"/>
      <c r="Q79" s="39"/>
    </row>
    <row r="80" spans="1:17" ht="12" customHeight="1" x14ac:dyDescent="0.3">
      <c r="A80" s="58" t="str">
        <v>спорт 1130387590.111.0</v>
      </c>
      <c r="B80" s="55" t="str">
        <v>1102</v>
      </c>
      <c r="C80" s="56">
        <v>111</v>
      </c>
      <c r="D80" s="68">
        <v>211</v>
      </c>
      <c r="E80" s="157"/>
      <c r="F80" s="131">
        <f t="shared" si="29"/>
        <v>18378320</v>
      </c>
      <c r="G80" s="57">
        <f t="shared" si="28"/>
        <v>18378320</v>
      </c>
      <c r="H80" s="132">
        <f t="shared" si="28"/>
        <v>18378320</v>
      </c>
      <c r="I80" s="70">
        <v>18378320</v>
      </c>
      <c r="J80" s="59">
        <v>18378320</v>
      </c>
      <c r="K80" s="59">
        <v>18378320</v>
      </c>
      <c r="L80" s="59"/>
      <c r="M80" s="59"/>
      <c r="N80" s="59"/>
      <c r="O80" s="40"/>
      <c r="P80" s="40"/>
      <c r="Q80" s="39"/>
    </row>
    <row r="81" spans="1:17" ht="12" customHeight="1" x14ac:dyDescent="0.3">
      <c r="A81" s="58" t="str">
        <v>спорт з/п 11303S2090.111.0</v>
      </c>
      <c r="B81" s="55" t="str">
        <v>1102</v>
      </c>
      <c r="C81" s="56">
        <v>111</v>
      </c>
      <c r="D81" s="68">
        <v>211</v>
      </c>
      <c r="E81" s="157"/>
      <c r="F81" s="131">
        <f t="shared" si="29"/>
        <v>0</v>
      </c>
      <c r="G81" s="57">
        <f t="shared" si="28"/>
        <v>0</v>
      </c>
      <c r="H81" s="132">
        <f t="shared" si="28"/>
        <v>0</v>
      </c>
      <c r="I81" s="70"/>
      <c r="J81" s="59"/>
      <c r="K81" s="59"/>
      <c r="L81" s="59"/>
      <c r="M81" s="59"/>
      <c r="N81" s="59"/>
      <c r="O81" s="40"/>
      <c r="P81" s="40"/>
      <c r="Q81" s="39"/>
    </row>
    <row r="82" spans="1:17" ht="12" customHeight="1" x14ac:dyDescent="0.3">
      <c r="A82" s="58" t="str">
        <v/>
      </c>
      <c r="B82" s="55" t="str">
        <v/>
      </c>
      <c r="C82" s="56">
        <v>111</v>
      </c>
      <c r="D82" s="68">
        <v>211</v>
      </c>
      <c r="E82" s="157"/>
      <c r="F82" s="131">
        <f t="shared" si="29"/>
        <v>0</v>
      </c>
      <c r="G82" s="57">
        <f t="shared" si="28"/>
        <v>0</v>
      </c>
      <c r="H82" s="132">
        <f t="shared" si="28"/>
        <v>0</v>
      </c>
      <c r="I82" s="70"/>
      <c r="J82" s="59"/>
      <c r="K82" s="59"/>
      <c r="L82" s="59"/>
      <c r="M82" s="59"/>
      <c r="N82" s="59"/>
      <c r="O82" s="40"/>
      <c r="P82" s="40"/>
      <c r="Q82" s="39"/>
    </row>
    <row r="83" spans="1:17" ht="12" customHeight="1" x14ac:dyDescent="0.3">
      <c r="A83" s="58" t="str">
        <v/>
      </c>
      <c r="B83" s="55" t="str">
        <v/>
      </c>
      <c r="C83" s="56">
        <v>111</v>
      </c>
      <c r="D83" s="68">
        <v>211</v>
      </c>
      <c r="E83" s="157"/>
      <c r="F83" s="131">
        <f t="shared" si="29"/>
        <v>0</v>
      </c>
      <c r="G83" s="57">
        <f t="shared" si="28"/>
        <v>0</v>
      </c>
      <c r="H83" s="132">
        <f t="shared" si="28"/>
        <v>0</v>
      </c>
      <c r="I83" s="70"/>
      <c r="J83" s="59"/>
      <c r="K83" s="59"/>
      <c r="L83" s="59"/>
      <c r="M83" s="59"/>
      <c r="N83" s="59"/>
      <c r="O83" s="40"/>
      <c r="P83" s="40"/>
      <c r="Q83" s="39"/>
    </row>
    <row r="84" spans="1:17" ht="12" customHeight="1" x14ac:dyDescent="0.3">
      <c r="A84" s="58" t="str">
        <v/>
      </c>
      <c r="B84" s="55" t="str">
        <v/>
      </c>
      <c r="C84" s="56">
        <v>111</v>
      </c>
      <c r="D84" s="68">
        <v>211</v>
      </c>
      <c r="E84" s="157"/>
      <c r="F84" s="131">
        <f t="shared" si="29"/>
        <v>0</v>
      </c>
      <c r="G84" s="57">
        <f t="shared" si="28"/>
        <v>0</v>
      </c>
      <c r="H84" s="132">
        <f t="shared" si="28"/>
        <v>0</v>
      </c>
      <c r="I84" s="70"/>
      <c r="J84" s="59"/>
      <c r="K84" s="59"/>
      <c r="L84" s="59"/>
      <c r="M84" s="59"/>
      <c r="N84" s="59"/>
      <c r="O84" s="40"/>
      <c r="P84" s="40"/>
      <c r="Q84" s="39"/>
    </row>
    <row r="85" spans="1:17" ht="12" customHeight="1" x14ac:dyDescent="0.3">
      <c r="A85" s="58" t="str">
        <v/>
      </c>
      <c r="B85" s="55" t="str">
        <v/>
      </c>
      <c r="C85" s="56">
        <v>111</v>
      </c>
      <c r="D85" s="68">
        <v>211</v>
      </c>
      <c r="E85" s="157"/>
      <c r="F85" s="131">
        <f t="shared" si="29"/>
        <v>0</v>
      </c>
      <c r="G85" s="57">
        <f t="shared" si="28"/>
        <v>0</v>
      </c>
      <c r="H85" s="132">
        <f t="shared" si="28"/>
        <v>0</v>
      </c>
      <c r="I85" s="70"/>
      <c r="J85" s="59"/>
      <c r="K85" s="59"/>
      <c r="L85" s="59"/>
      <c r="M85" s="59"/>
      <c r="N85" s="59"/>
      <c r="O85" s="40"/>
      <c r="P85" s="40"/>
      <c r="Q85" s="39"/>
    </row>
    <row r="86" spans="1:17" ht="12" customHeight="1" x14ac:dyDescent="0.3">
      <c r="A86" s="58" t="str">
        <v/>
      </c>
      <c r="B86" s="55" t="str">
        <v/>
      </c>
      <c r="C86" s="56">
        <v>111</v>
      </c>
      <c r="D86" s="68">
        <v>211</v>
      </c>
      <c r="E86" s="157"/>
      <c r="F86" s="131">
        <f t="shared" si="29"/>
        <v>0</v>
      </c>
      <c r="G86" s="57">
        <f t="shared" si="28"/>
        <v>0</v>
      </c>
      <c r="H86" s="132">
        <f t="shared" si="28"/>
        <v>0</v>
      </c>
      <c r="I86" s="70"/>
      <c r="J86" s="59"/>
      <c r="K86" s="59"/>
      <c r="L86" s="59"/>
      <c r="M86" s="59"/>
      <c r="N86" s="59"/>
      <c r="O86" s="40"/>
      <c r="P86" s="40"/>
      <c r="Q86" s="39"/>
    </row>
    <row r="87" spans="1:17" ht="12" customHeight="1" x14ac:dyDescent="0.3">
      <c r="A87" s="58" t="str">
        <f t="array" ref="A87:A89">IFERROR(INDEX(КБК!E4:E887,SMALL(IF((($D$87=КБК!F4:F887)*($C$87=КБК!G4:G887)*(NOT(ISERR(SEARCH($O$1,КБК!D4:D887))))),ROW(КБК!E4:E887)-3,""),ROW()-$O$87+1)),"")</f>
        <v>доходы 0000000131.111.0</v>
      </c>
      <c r="B87" s="55" t="str">
        <f t="array" ref="B87:B89">IFERROR(INDEX(КБК!H4:H887,SMALL(IF((($D$87=КБК!F4:F887)*($C$87=КБК!G4:G887)*(NOT(ISERR(SEARCH($O$1,КБК!D4:D887))))),ROW(КБК!E4:E887)-3,""),ROW()-$O$87+1)),"")</f>
        <v>1102</v>
      </c>
      <c r="C87" s="56">
        <v>111</v>
      </c>
      <c r="D87" s="68">
        <v>266</v>
      </c>
      <c r="E87" s="187"/>
      <c r="F87" s="131">
        <f t="shared" ref="F87:H89" si="30">I87+L87</f>
        <v>6000</v>
      </c>
      <c r="G87" s="57">
        <f t="shared" si="30"/>
        <v>6000</v>
      </c>
      <c r="H87" s="132">
        <f t="shared" si="30"/>
        <v>6000</v>
      </c>
      <c r="I87" s="70">
        <v>6000</v>
      </c>
      <c r="J87" s="59">
        <v>6000</v>
      </c>
      <c r="K87" s="59">
        <v>6000</v>
      </c>
      <c r="L87" s="59"/>
      <c r="M87" s="59"/>
      <c r="N87" s="59"/>
      <c r="O87" s="40">
        <f>ROW()</f>
        <v>87</v>
      </c>
      <c r="P87" s="40"/>
      <c r="Q87" s="39"/>
    </row>
    <row r="88" spans="1:17" ht="12" customHeight="1" x14ac:dyDescent="0.3">
      <c r="A88" s="58" t="str">
        <v>спорт 1130387590.111.0</v>
      </c>
      <c r="B88" s="55" t="str">
        <v>0703</v>
      </c>
      <c r="C88" s="56">
        <v>111</v>
      </c>
      <c r="D88" s="68">
        <v>266</v>
      </c>
      <c r="E88" s="187"/>
      <c r="F88" s="131">
        <f t="shared" si="30"/>
        <v>28500</v>
      </c>
      <c r="G88" s="57">
        <f t="shared" si="30"/>
        <v>28500</v>
      </c>
      <c r="H88" s="132">
        <f t="shared" si="30"/>
        <v>28500</v>
      </c>
      <c r="I88" s="70">
        <v>28500</v>
      </c>
      <c r="J88" s="59">
        <v>28500</v>
      </c>
      <c r="K88" s="59">
        <v>28500</v>
      </c>
      <c r="L88" s="59"/>
      <c r="M88" s="59"/>
      <c r="N88" s="59"/>
      <c r="O88" s="40"/>
      <c r="P88" s="40"/>
      <c r="Q88" s="39"/>
    </row>
    <row r="89" spans="1:17" ht="12" customHeight="1" x14ac:dyDescent="0.3">
      <c r="A89" s="58" t="str">
        <v>спорт 1130387590.111.0</v>
      </c>
      <c r="B89" s="55" t="str">
        <v>1102</v>
      </c>
      <c r="C89" s="56">
        <v>111</v>
      </c>
      <c r="D89" s="68">
        <v>266</v>
      </c>
      <c r="E89" s="187"/>
      <c r="F89" s="131">
        <f t="shared" si="30"/>
        <v>95000</v>
      </c>
      <c r="G89" s="57">
        <f t="shared" si="30"/>
        <v>95000</v>
      </c>
      <c r="H89" s="132">
        <f t="shared" si="30"/>
        <v>95000</v>
      </c>
      <c r="I89" s="70">
        <v>95000</v>
      </c>
      <c r="J89" s="59">
        <v>95000</v>
      </c>
      <c r="K89" s="59">
        <v>95000</v>
      </c>
      <c r="L89" s="59"/>
      <c r="M89" s="59"/>
      <c r="N89" s="59"/>
      <c r="O89" s="40"/>
      <c r="P89" s="40"/>
      <c r="Q89" s="39"/>
    </row>
    <row r="90" spans="1:17" ht="12" customHeight="1" x14ac:dyDescent="0.3">
      <c r="A90" s="60" t="s">
        <v>306</v>
      </c>
      <c r="B90" s="55" t="s">
        <v>211</v>
      </c>
      <c r="C90" s="56">
        <v>112</v>
      </c>
      <c r="D90" s="68">
        <v>212</v>
      </c>
      <c r="E90" s="157">
        <v>2120</v>
      </c>
      <c r="F90" s="135">
        <f t="shared" ref="F90:N90" si="31">SUM(F91:F97)</f>
        <v>63240</v>
      </c>
      <c r="G90" s="57">
        <f t="shared" si="31"/>
        <v>63240</v>
      </c>
      <c r="H90" s="69">
        <f t="shared" si="31"/>
        <v>63240</v>
      </c>
      <c r="I90" s="135">
        <f t="shared" si="31"/>
        <v>63240</v>
      </c>
      <c r="J90" s="57">
        <f t="shared" si="31"/>
        <v>63240</v>
      </c>
      <c r="K90" s="57">
        <f t="shared" si="31"/>
        <v>63240</v>
      </c>
      <c r="L90" s="57">
        <f t="shared" si="31"/>
        <v>0</v>
      </c>
      <c r="M90" s="57">
        <f t="shared" si="31"/>
        <v>0</v>
      </c>
      <c r="N90" s="69">
        <f t="shared" si="31"/>
        <v>0</v>
      </c>
      <c r="O90" s="40">
        <f>ROW()</f>
        <v>90</v>
      </c>
      <c r="P90" s="40"/>
      <c r="Q90" s="39"/>
    </row>
    <row r="91" spans="1:17" ht="12" customHeight="1" x14ac:dyDescent="0.3">
      <c r="A91" s="58" t="str">
        <f t="array" ref="A91:A93">IFERROR(INDEX(КБК!E4:E887,SMALL(IF((($D$90=КБК!F4:F887)*($C$90=КБК!G4:G887)*(NOT(ISERR(SEARCH($O$1,КБК!D4:D887))))),ROW(КБК!E4:E887)-3,""),ROW()-$O$90)),"")</f>
        <v>доходы 0000000131.112.0</v>
      </c>
      <c r="B91" s="55" t="str">
        <f t="array" ref="B91:B93">IFERROR(INDEX(КБК!H4:H887,SMALL(IF((($D$90=КБК!F4:F887)*($C$90=КБК!G4:G887)*(NOT(ISERR(SEARCH($O$1,КБК!D4:D887))))),ROW(КБК!E4:E887)-3,""),ROW()-$O$90)),"")</f>
        <v>1102</v>
      </c>
      <c r="C91" s="64">
        <v>112</v>
      </c>
      <c r="D91" s="68">
        <v>212</v>
      </c>
      <c r="E91" s="157"/>
      <c r="F91" s="131">
        <f t="shared" ref="F91:H93" si="32">I91+L91</f>
        <v>9000</v>
      </c>
      <c r="G91" s="57">
        <f t="shared" si="32"/>
        <v>9000</v>
      </c>
      <c r="H91" s="132">
        <f t="shared" si="32"/>
        <v>9000</v>
      </c>
      <c r="I91" s="70">
        <v>9000</v>
      </c>
      <c r="J91" s="59">
        <v>9000</v>
      </c>
      <c r="K91" s="59">
        <v>9000</v>
      </c>
      <c r="L91" s="59"/>
      <c r="M91" s="59"/>
      <c r="N91" s="59"/>
      <c r="O91" s="40"/>
      <c r="P91" s="40"/>
      <c r="Q91" s="39"/>
    </row>
    <row r="92" spans="1:17" ht="12" customHeight="1" x14ac:dyDescent="0.3">
      <c r="A92" s="58" t="str">
        <v>спорт 1130387590.112.0</v>
      </c>
      <c r="B92" s="55" t="str">
        <v>1102</v>
      </c>
      <c r="C92" s="64">
        <v>112</v>
      </c>
      <c r="D92" s="68">
        <v>212</v>
      </c>
      <c r="E92" s="157"/>
      <c r="F92" s="131">
        <f t="shared" si="32"/>
        <v>8100</v>
      </c>
      <c r="G92" s="57">
        <f t="shared" si="32"/>
        <v>8100</v>
      </c>
      <c r="H92" s="132">
        <f t="shared" si="32"/>
        <v>8100</v>
      </c>
      <c r="I92" s="70">
        <v>8100</v>
      </c>
      <c r="J92" s="59">
        <v>8100</v>
      </c>
      <c r="K92" s="59">
        <v>8100</v>
      </c>
      <c r="L92" s="59"/>
      <c r="M92" s="59"/>
      <c r="N92" s="59"/>
      <c r="O92" s="40"/>
      <c r="P92" s="40"/>
      <c r="Q92" s="39"/>
    </row>
    <row r="93" spans="1:17" ht="12" customHeight="1" x14ac:dyDescent="0.3">
      <c r="A93" s="58" t="str">
        <v/>
      </c>
      <c r="B93" s="55" t="str">
        <v/>
      </c>
      <c r="C93" s="64">
        <v>112</v>
      </c>
      <c r="D93" s="68">
        <v>212</v>
      </c>
      <c r="E93" s="157"/>
      <c r="F93" s="131">
        <f t="shared" si="32"/>
        <v>0</v>
      </c>
      <c r="G93" s="57">
        <f t="shared" si="32"/>
        <v>0</v>
      </c>
      <c r="H93" s="132">
        <f t="shared" si="32"/>
        <v>0</v>
      </c>
      <c r="I93" s="70"/>
      <c r="J93" s="59"/>
      <c r="K93" s="59"/>
      <c r="L93" s="59"/>
      <c r="M93" s="59"/>
      <c r="N93" s="59"/>
      <c r="O93" s="40"/>
      <c r="P93" s="40"/>
      <c r="Q93" s="39"/>
    </row>
    <row r="94" spans="1:17" ht="12" customHeight="1" x14ac:dyDescent="0.3">
      <c r="A94" s="58" t="str">
        <f t="array" ref="A94:A95">IFERROR(INDEX(КБК!E4:E887,SMALL(IF((($D$94=КБК!F4:F887)*($C$94=КБК!G4:G887)*(NOT(ISERR(SEARCH($O$1,КБК!D4:D887))))),ROW(КБК!E4:E887)-3,""),ROW()-$O$94+1)),"")</f>
        <v>спорт 1130387590.112.0</v>
      </c>
      <c r="B94" s="55" t="str">
        <f t="array" ref="B94:B95">IFERROR(INDEX(КБК!H4:H887,SMALL(IF((($D$94=КБК!F4:F887)*($C$94=КБК!G4:G887)*(NOT(ISERR(SEARCH($O$1,КБК!D4:D887))))),ROW(КБК!E4:E887)-3,""),ROW()-$O$94+1)),"")</f>
        <v>1102</v>
      </c>
      <c r="C94" s="56">
        <v>112</v>
      </c>
      <c r="D94" s="68">
        <v>226</v>
      </c>
      <c r="E94" s="187"/>
      <c r="F94" s="131">
        <f t="shared" ref="F94:H95" si="33">I94+L94</f>
        <v>45000</v>
      </c>
      <c r="G94" s="57">
        <f t="shared" si="33"/>
        <v>45000</v>
      </c>
      <c r="H94" s="132">
        <f t="shared" si="33"/>
        <v>45000</v>
      </c>
      <c r="I94" s="70">
        <v>45000</v>
      </c>
      <c r="J94" s="59">
        <v>45000</v>
      </c>
      <c r="K94" s="59">
        <v>45000</v>
      </c>
      <c r="L94" s="59"/>
      <c r="M94" s="59"/>
      <c r="N94" s="59"/>
      <c r="O94" s="40">
        <f>ROW()</f>
        <v>94</v>
      </c>
      <c r="P94" s="40"/>
      <c r="Q94" s="39"/>
    </row>
    <row r="95" spans="1:17" ht="12" customHeight="1" x14ac:dyDescent="0.3">
      <c r="A95" s="58" t="str">
        <v/>
      </c>
      <c r="B95" s="55" t="str">
        <v/>
      </c>
      <c r="C95" s="56">
        <v>112</v>
      </c>
      <c r="D95" s="68">
        <v>226</v>
      </c>
      <c r="E95" s="187"/>
      <c r="F95" s="131">
        <f t="shared" si="33"/>
        <v>0</v>
      </c>
      <c r="G95" s="57">
        <f t="shared" si="33"/>
        <v>0</v>
      </c>
      <c r="H95" s="132">
        <f t="shared" si="33"/>
        <v>0</v>
      </c>
      <c r="I95" s="70"/>
      <c r="J95" s="59"/>
      <c r="K95" s="59"/>
      <c r="L95" s="59"/>
      <c r="M95" s="59"/>
      <c r="N95" s="59"/>
      <c r="O95" s="40"/>
      <c r="P95" s="40"/>
      <c r="Q95" s="39"/>
    </row>
    <row r="96" spans="1:17" ht="12" customHeight="1" x14ac:dyDescent="0.3">
      <c r="A96" s="58" t="str">
        <f t="array" ref="A96:A97">IFERROR(INDEX(КБК!E4:E887,SMALL(IF((($D$96=КБК!F4:F887)*($C$96=КБК!G4:G887)*(NOT(ISERR(SEARCH($O$1,КБК!D4:D887))))),ROW(КБК!E4:E887)-3,""),ROW()-$O$96+1)),"")</f>
        <v>доходы 0000000131.112.0</v>
      </c>
      <c r="B96" s="55" t="str">
        <f t="array" ref="B96:B97">IFERROR(INDEX(КБК!H4:H887,SMALL(IF((($D$96=КБК!F4:F887)*($C$96=КБК!G4:G887)*(NOT(ISERR(SEARCH($O$1,КБК!D4:D887))))),ROW(КБК!E4:E887)-3,""),ROW()-$O$96+1)),"")</f>
        <v>1102</v>
      </c>
      <c r="C96" s="56">
        <v>112</v>
      </c>
      <c r="D96" s="68">
        <v>266</v>
      </c>
      <c r="E96" s="157"/>
      <c r="F96" s="131">
        <f t="shared" ref="F96:H97" si="34">I96+L96</f>
        <v>0</v>
      </c>
      <c r="G96" s="57">
        <f t="shared" si="34"/>
        <v>0</v>
      </c>
      <c r="H96" s="132">
        <f t="shared" si="34"/>
        <v>0</v>
      </c>
      <c r="I96" s="70"/>
      <c r="J96" s="59"/>
      <c r="K96" s="59"/>
      <c r="L96" s="59"/>
      <c r="M96" s="59"/>
      <c r="N96" s="59"/>
      <c r="O96" s="40">
        <f>ROW()</f>
        <v>96</v>
      </c>
      <c r="P96" s="40"/>
      <c r="Q96" s="39"/>
    </row>
    <row r="97" spans="1:17" ht="12" customHeight="1" x14ac:dyDescent="0.3">
      <c r="A97" s="58" t="str">
        <v>спорт 1130387590.112.0</v>
      </c>
      <c r="B97" s="55" t="str">
        <v>1102</v>
      </c>
      <c r="C97" s="56">
        <v>112</v>
      </c>
      <c r="D97" s="68">
        <v>266</v>
      </c>
      <c r="E97" s="157"/>
      <c r="F97" s="131">
        <f t="shared" si="34"/>
        <v>1140</v>
      </c>
      <c r="G97" s="57">
        <f t="shared" si="34"/>
        <v>1140</v>
      </c>
      <c r="H97" s="132">
        <f t="shared" si="34"/>
        <v>1140</v>
      </c>
      <c r="I97" s="70">
        <v>1140</v>
      </c>
      <c r="J97" s="59">
        <v>1140</v>
      </c>
      <c r="K97" s="59">
        <v>1140</v>
      </c>
      <c r="L97" s="59"/>
      <c r="M97" s="59"/>
      <c r="N97" s="59"/>
      <c r="O97" s="40"/>
      <c r="P97" s="40"/>
      <c r="Q97" s="39"/>
    </row>
    <row r="98" spans="1:17" ht="12" customHeight="1" x14ac:dyDescent="0.3">
      <c r="A98" s="62" t="s">
        <v>307</v>
      </c>
      <c r="B98" s="55" t="s">
        <v>211</v>
      </c>
      <c r="C98" s="56">
        <v>113</v>
      </c>
      <c r="D98" s="68">
        <v>226</v>
      </c>
      <c r="E98" s="157">
        <v>2130</v>
      </c>
      <c r="F98" s="131">
        <f>SUM(F99:F100)</f>
        <v>315000</v>
      </c>
      <c r="G98" s="57">
        <f>SUM(G99:G100)</f>
        <v>315000</v>
      </c>
      <c r="H98" s="132">
        <f>SUM(H99:H100)</f>
        <v>315000</v>
      </c>
      <c r="I98" s="69">
        <f t="shared" ref="I98:N98" si="35">SUM(I99:I100)</f>
        <v>315000</v>
      </c>
      <c r="J98" s="57">
        <f t="shared" si="35"/>
        <v>315000</v>
      </c>
      <c r="K98" s="57">
        <f t="shared" si="35"/>
        <v>315000</v>
      </c>
      <c r="L98" s="57">
        <f t="shared" si="35"/>
        <v>0</v>
      </c>
      <c r="M98" s="57">
        <f t="shared" si="35"/>
        <v>0</v>
      </c>
      <c r="N98" s="57">
        <f t="shared" si="35"/>
        <v>0</v>
      </c>
      <c r="O98" s="40">
        <f>ROW()</f>
        <v>98</v>
      </c>
      <c r="P98" s="40"/>
      <c r="Q98" s="39"/>
    </row>
    <row r="99" spans="1:17" ht="12" customHeight="1" x14ac:dyDescent="0.3">
      <c r="A99" s="58" t="str">
        <f t="array" ref="A99:A100">IFERROR(INDEX(КБК!E4:E887,SMALL(IF((($D$98=КБК!F4:F887)*($C$98=КБК!G4:G887)*(NOT(ISERR(SEARCH($O$1,КБК!D4:D887))))),ROW(КБК!E4:E887)-3,""),ROW()-$O$98)),"")</f>
        <v>спорт 1130387590.113.0</v>
      </c>
      <c r="B99" s="55" t="str">
        <f t="array" ref="B99:B100">IFERROR(INDEX(КБК!H4:H887,SMALL(IF((($D$98=КБК!F4:F887)*($C$98=КБК!G4:G887)*(NOT(ISERR(SEARCH($O$1,КБК!D4:D887))))),ROW(КБК!E4:E887)-3,""),ROW()-$O$98)),"")</f>
        <v>1102</v>
      </c>
      <c r="C99" s="56">
        <v>113</v>
      </c>
      <c r="D99" s="68">
        <v>226</v>
      </c>
      <c r="E99" s="187"/>
      <c r="F99" s="131">
        <f t="shared" ref="F99:H100" si="36">I99+L99</f>
        <v>315000</v>
      </c>
      <c r="G99" s="57">
        <f t="shared" si="36"/>
        <v>315000</v>
      </c>
      <c r="H99" s="132">
        <f t="shared" si="36"/>
        <v>315000</v>
      </c>
      <c r="I99" s="70">
        <v>315000</v>
      </c>
      <c r="J99" s="59">
        <v>315000</v>
      </c>
      <c r="K99" s="59">
        <v>315000</v>
      </c>
      <c r="L99" s="59"/>
      <c r="M99" s="59"/>
      <c r="N99" s="59"/>
      <c r="O99" s="40"/>
      <c r="P99" s="40"/>
      <c r="Q99" s="39"/>
    </row>
    <row r="100" spans="1:17" ht="12" customHeight="1" x14ac:dyDescent="0.3">
      <c r="A100" s="58" t="str">
        <v/>
      </c>
      <c r="B100" s="55" t="str">
        <v/>
      </c>
      <c r="C100" s="56">
        <v>113</v>
      </c>
      <c r="D100" s="68">
        <v>226</v>
      </c>
      <c r="E100" s="187"/>
      <c r="F100" s="131">
        <f t="shared" si="36"/>
        <v>0</v>
      </c>
      <c r="G100" s="57">
        <f t="shared" si="36"/>
        <v>0</v>
      </c>
      <c r="H100" s="132">
        <f t="shared" si="36"/>
        <v>0</v>
      </c>
      <c r="I100" s="70"/>
      <c r="J100" s="59"/>
      <c r="K100" s="59"/>
      <c r="L100" s="59"/>
      <c r="M100" s="59"/>
      <c r="N100" s="59"/>
      <c r="O100" s="40"/>
      <c r="P100" s="40"/>
      <c r="Q100" s="39"/>
    </row>
    <row r="101" spans="1:17" ht="12" customHeight="1" x14ac:dyDescent="0.3">
      <c r="A101" s="62" t="s">
        <v>319</v>
      </c>
      <c r="B101" s="55" t="s">
        <v>211</v>
      </c>
      <c r="C101" s="56">
        <v>119</v>
      </c>
      <c r="D101" s="68" t="s">
        <v>211</v>
      </c>
      <c r="E101" s="157">
        <v>2140</v>
      </c>
      <c r="F101" s="131">
        <f>F102+F113</f>
        <v>7698760</v>
      </c>
      <c r="G101" s="57">
        <f>G102+G113</f>
        <v>7698760</v>
      </c>
      <c r="H101" s="132">
        <f>H102+H113</f>
        <v>7698760</v>
      </c>
      <c r="I101" s="69">
        <f t="shared" ref="I101:N101" si="37">I102+I113</f>
        <v>7698760</v>
      </c>
      <c r="J101" s="57">
        <f t="shared" si="37"/>
        <v>7698760</v>
      </c>
      <c r="K101" s="57">
        <f t="shared" si="37"/>
        <v>7698760</v>
      </c>
      <c r="L101" s="57">
        <f t="shared" si="37"/>
        <v>0</v>
      </c>
      <c r="M101" s="57">
        <f t="shared" si="37"/>
        <v>0</v>
      </c>
      <c r="N101" s="57">
        <f t="shared" si="37"/>
        <v>0</v>
      </c>
      <c r="O101" s="40"/>
      <c r="P101" s="40"/>
      <c r="Q101" s="39"/>
    </row>
    <row r="102" spans="1:17" ht="12" customHeight="1" x14ac:dyDescent="0.3">
      <c r="A102" s="60" t="s">
        <v>305</v>
      </c>
      <c r="B102" s="55" t="s">
        <v>211</v>
      </c>
      <c r="C102" s="56">
        <v>119</v>
      </c>
      <c r="D102" s="68">
        <v>213</v>
      </c>
      <c r="E102" s="157">
        <v>2141</v>
      </c>
      <c r="F102" s="131">
        <f>SUM(F103:F112)</f>
        <v>7698760</v>
      </c>
      <c r="G102" s="57">
        <f>SUM(G103:G112)</f>
        <v>7698760</v>
      </c>
      <c r="H102" s="132">
        <f>SUM(H103:H112)</f>
        <v>7698760</v>
      </c>
      <c r="I102" s="69">
        <f t="shared" ref="I102:N102" si="38">SUM(I103:I112)</f>
        <v>7698760</v>
      </c>
      <c r="J102" s="57">
        <f t="shared" si="38"/>
        <v>7698760</v>
      </c>
      <c r="K102" s="57">
        <f t="shared" si="38"/>
        <v>7698760</v>
      </c>
      <c r="L102" s="57">
        <f t="shared" si="38"/>
        <v>0</v>
      </c>
      <c r="M102" s="57">
        <f t="shared" si="38"/>
        <v>0</v>
      </c>
      <c r="N102" s="57">
        <f t="shared" si="38"/>
        <v>0</v>
      </c>
      <c r="O102" s="39">
        <f>ROW()</f>
        <v>102</v>
      </c>
      <c r="P102" s="40"/>
      <c r="Q102" s="39"/>
    </row>
    <row r="103" spans="1:17" ht="12" customHeight="1" x14ac:dyDescent="0.3">
      <c r="A103" s="58" t="str">
        <f t="array" ref="A103:A112">IFERROR(INDEX(КБК!E4:E887,SMALL(IF((($D$102=КБК!F4:F887)*($C$102=КБК!G4:G887)*(NOT(ISERR(SEARCH($O$1,КБК!D4:D887))))),ROW(КБК!E4:E887)-3,""),ROW()-$O$102)),"")</f>
        <v>доходы 0000000131.119.0</v>
      </c>
      <c r="B103" s="55" t="str">
        <f t="array" ref="B103:B112">IFERROR(INDEX(КБК!H4:H887,SMALL(IF((($D$102=КБК!F4:F887)*($C$102=КБК!G4:G887)*(NOT(ISERR(SEARCH($O$1,КБК!D4:D887))))),ROW(КБК!E4:E887)-3,""),ROW()-$O$102)),"")</f>
        <v>1102</v>
      </c>
      <c r="C103" s="56">
        <v>119</v>
      </c>
      <c r="D103" s="68">
        <v>213</v>
      </c>
      <c r="E103" s="157"/>
      <c r="F103" s="131">
        <f>I103+L103</f>
        <v>339300</v>
      </c>
      <c r="G103" s="57">
        <f t="shared" ref="G103:H112" si="39">J103+M103</f>
        <v>339300</v>
      </c>
      <c r="H103" s="132">
        <f t="shared" si="39"/>
        <v>339300</v>
      </c>
      <c r="I103" s="70">
        <v>339300</v>
      </c>
      <c r="J103" s="59">
        <v>339300</v>
      </c>
      <c r="K103" s="59">
        <v>339300</v>
      </c>
      <c r="L103" s="59"/>
      <c r="M103" s="59"/>
      <c r="N103" s="59"/>
      <c r="O103" s="39"/>
      <c r="P103" s="40"/>
      <c r="Q103" s="39"/>
    </row>
    <row r="104" spans="1:17" ht="12" customHeight="1" x14ac:dyDescent="0.3">
      <c r="A104" s="58" t="str">
        <v>учащийся 0120823590.119.0</v>
      </c>
      <c r="B104" s="55" t="str">
        <v>0703</v>
      </c>
      <c r="C104" s="56">
        <v>119</v>
      </c>
      <c r="D104" s="68">
        <v>213</v>
      </c>
      <c r="E104" s="157"/>
      <c r="F104" s="131">
        <f t="shared" ref="F104:F112" si="40">I104+L104</f>
        <v>0</v>
      </c>
      <c r="G104" s="57">
        <f t="shared" si="39"/>
        <v>0</v>
      </c>
      <c r="H104" s="132">
        <f t="shared" si="39"/>
        <v>0</v>
      </c>
      <c r="I104" s="70"/>
      <c r="J104" s="59"/>
      <c r="K104" s="59"/>
      <c r="L104" s="59"/>
      <c r="M104" s="59"/>
      <c r="N104" s="59"/>
      <c r="O104" s="39"/>
      <c r="P104" s="40"/>
      <c r="Q104" s="39"/>
    </row>
    <row r="105" spans="1:17" ht="12" customHeight="1" x14ac:dyDescent="0.3">
      <c r="A105" s="58" t="str">
        <v>спорт 1130387590.119.0</v>
      </c>
      <c r="B105" s="55" t="str">
        <v>0703</v>
      </c>
      <c r="C105" s="56">
        <v>119</v>
      </c>
      <c r="D105" s="68">
        <v>213</v>
      </c>
      <c r="E105" s="157"/>
      <c r="F105" s="131">
        <f t="shared" si="40"/>
        <v>1817820</v>
      </c>
      <c r="G105" s="57">
        <f t="shared" si="39"/>
        <v>1817820</v>
      </c>
      <c r="H105" s="132">
        <f t="shared" si="39"/>
        <v>1817820</v>
      </c>
      <c r="I105" s="70">
        <v>1817820</v>
      </c>
      <c r="J105" s="59">
        <v>1817820</v>
      </c>
      <c r="K105" s="59">
        <v>1817820</v>
      </c>
      <c r="L105" s="59"/>
      <c r="M105" s="59"/>
      <c r="N105" s="59"/>
      <c r="O105" s="39"/>
      <c r="P105" s="40"/>
      <c r="Q105" s="39"/>
    </row>
    <row r="106" spans="1:17" ht="12" customHeight="1" x14ac:dyDescent="0.3">
      <c r="A106" s="58" t="str">
        <v>спорт 1130387590.119.0</v>
      </c>
      <c r="B106" s="55" t="str">
        <v>1102</v>
      </c>
      <c r="C106" s="56">
        <v>119</v>
      </c>
      <c r="D106" s="68">
        <v>213</v>
      </c>
      <c r="E106" s="157"/>
      <c r="F106" s="131">
        <f t="shared" si="40"/>
        <v>5541640</v>
      </c>
      <c r="G106" s="57">
        <f t="shared" si="39"/>
        <v>5541640</v>
      </c>
      <c r="H106" s="132">
        <f t="shared" si="39"/>
        <v>5541640</v>
      </c>
      <c r="I106" s="70">
        <v>5541640</v>
      </c>
      <c r="J106" s="59">
        <v>5541640</v>
      </c>
      <c r="K106" s="59">
        <v>5541640</v>
      </c>
      <c r="L106" s="59"/>
      <c r="M106" s="59"/>
      <c r="N106" s="59"/>
      <c r="O106" s="39"/>
      <c r="P106" s="40"/>
      <c r="Q106" s="39"/>
    </row>
    <row r="107" spans="1:17" ht="12" customHeight="1" x14ac:dyDescent="0.3">
      <c r="A107" s="58" t="str">
        <v>спорт з/п 11303S2090.119.0</v>
      </c>
      <c r="B107" s="55" t="str">
        <v>1102</v>
      </c>
      <c r="C107" s="56">
        <v>119</v>
      </c>
      <c r="D107" s="68">
        <v>213</v>
      </c>
      <c r="E107" s="157"/>
      <c r="F107" s="131">
        <f t="shared" si="40"/>
        <v>0</v>
      </c>
      <c r="G107" s="57">
        <f t="shared" si="39"/>
        <v>0</v>
      </c>
      <c r="H107" s="132">
        <f t="shared" si="39"/>
        <v>0</v>
      </c>
      <c r="I107" s="70"/>
      <c r="J107" s="59"/>
      <c r="K107" s="59"/>
      <c r="L107" s="59"/>
      <c r="M107" s="59"/>
      <c r="N107" s="59"/>
      <c r="O107" s="39"/>
      <c r="P107" s="40"/>
      <c r="Q107" s="39"/>
    </row>
    <row r="108" spans="1:17" ht="12" customHeight="1" x14ac:dyDescent="0.3">
      <c r="A108" s="58" t="str">
        <v/>
      </c>
      <c r="B108" s="55" t="str">
        <v/>
      </c>
      <c r="C108" s="56">
        <v>119</v>
      </c>
      <c r="D108" s="68">
        <v>213</v>
      </c>
      <c r="E108" s="157"/>
      <c r="F108" s="131">
        <f t="shared" si="40"/>
        <v>0</v>
      </c>
      <c r="G108" s="57">
        <f t="shared" si="39"/>
        <v>0</v>
      </c>
      <c r="H108" s="132">
        <f t="shared" si="39"/>
        <v>0</v>
      </c>
      <c r="I108" s="70"/>
      <c r="J108" s="59"/>
      <c r="K108" s="59"/>
      <c r="L108" s="59"/>
      <c r="M108" s="59"/>
      <c r="N108" s="59"/>
      <c r="O108" s="39"/>
      <c r="P108" s="40"/>
      <c r="Q108" s="39"/>
    </row>
    <row r="109" spans="1:17" ht="12" customHeight="1" x14ac:dyDescent="0.3">
      <c r="A109" s="58" t="str">
        <v/>
      </c>
      <c r="B109" s="55" t="str">
        <v/>
      </c>
      <c r="C109" s="56">
        <v>119</v>
      </c>
      <c r="D109" s="68">
        <v>213</v>
      </c>
      <c r="E109" s="157"/>
      <c r="F109" s="131">
        <f t="shared" si="40"/>
        <v>0</v>
      </c>
      <c r="G109" s="57">
        <f t="shared" si="39"/>
        <v>0</v>
      </c>
      <c r="H109" s="132">
        <f t="shared" si="39"/>
        <v>0</v>
      </c>
      <c r="I109" s="70"/>
      <c r="J109" s="59"/>
      <c r="K109" s="59"/>
      <c r="L109" s="59"/>
      <c r="M109" s="59"/>
      <c r="N109" s="59"/>
      <c r="O109" s="39"/>
      <c r="P109" s="40"/>
      <c r="Q109" s="39"/>
    </row>
    <row r="110" spans="1:17" ht="12" customHeight="1" x14ac:dyDescent="0.3">
      <c r="A110" s="58" t="str">
        <v/>
      </c>
      <c r="B110" s="55" t="str">
        <v/>
      </c>
      <c r="C110" s="56">
        <v>119</v>
      </c>
      <c r="D110" s="68">
        <v>213</v>
      </c>
      <c r="E110" s="157"/>
      <c r="F110" s="131">
        <f t="shared" si="40"/>
        <v>0</v>
      </c>
      <c r="G110" s="57">
        <f t="shared" si="39"/>
        <v>0</v>
      </c>
      <c r="H110" s="132">
        <f t="shared" si="39"/>
        <v>0</v>
      </c>
      <c r="I110" s="70"/>
      <c r="J110" s="59"/>
      <c r="K110" s="59"/>
      <c r="L110" s="59"/>
      <c r="M110" s="59"/>
      <c r="N110" s="59"/>
      <c r="O110" s="39"/>
      <c r="P110" s="40"/>
      <c r="Q110" s="39"/>
    </row>
    <row r="111" spans="1:17" ht="12" customHeight="1" x14ac:dyDescent="0.3">
      <c r="A111" s="58" t="str">
        <v/>
      </c>
      <c r="B111" s="55" t="str">
        <v/>
      </c>
      <c r="C111" s="56">
        <v>119</v>
      </c>
      <c r="D111" s="68">
        <v>213</v>
      </c>
      <c r="E111" s="157"/>
      <c r="F111" s="131">
        <f t="shared" si="40"/>
        <v>0</v>
      </c>
      <c r="G111" s="57">
        <f t="shared" si="39"/>
        <v>0</v>
      </c>
      <c r="H111" s="132">
        <f t="shared" si="39"/>
        <v>0</v>
      </c>
      <c r="I111" s="70"/>
      <c r="J111" s="59"/>
      <c r="K111" s="59"/>
      <c r="L111" s="59"/>
      <c r="M111" s="59"/>
      <c r="N111" s="59"/>
      <c r="O111" s="39"/>
      <c r="P111" s="40"/>
      <c r="Q111" s="39"/>
    </row>
    <row r="112" spans="1:17" ht="12" customHeight="1" x14ac:dyDescent="0.3">
      <c r="A112" s="58" t="str">
        <v/>
      </c>
      <c r="B112" s="55" t="str">
        <v/>
      </c>
      <c r="C112" s="56">
        <v>119</v>
      </c>
      <c r="D112" s="68">
        <v>213</v>
      </c>
      <c r="E112" s="157"/>
      <c r="F112" s="131">
        <f t="shared" si="40"/>
        <v>0</v>
      </c>
      <c r="G112" s="57">
        <f t="shared" si="39"/>
        <v>0</v>
      </c>
      <c r="H112" s="132">
        <f t="shared" si="39"/>
        <v>0</v>
      </c>
      <c r="I112" s="70"/>
      <c r="J112" s="59"/>
      <c r="K112" s="59"/>
      <c r="L112" s="59"/>
      <c r="M112" s="59"/>
      <c r="N112" s="59"/>
      <c r="O112" s="39"/>
      <c r="P112" s="40"/>
      <c r="Q112" s="39"/>
    </row>
    <row r="113" spans="1:17" ht="12" customHeight="1" x14ac:dyDescent="0.3">
      <c r="A113" s="62" t="s">
        <v>307</v>
      </c>
      <c r="B113" s="55" t="s">
        <v>211</v>
      </c>
      <c r="C113" s="56">
        <v>119</v>
      </c>
      <c r="D113" s="68">
        <v>266</v>
      </c>
      <c r="E113" s="157">
        <v>2142</v>
      </c>
      <c r="F113" s="131">
        <f t="shared" ref="F113:M113" si="41">SUM(F114:F115)</f>
        <v>0</v>
      </c>
      <c r="G113" s="57">
        <f t="shared" si="41"/>
        <v>0</v>
      </c>
      <c r="H113" s="132">
        <f t="shared" si="41"/>
        <v>0</v>
      </c>
      <c r="I113" s="69">
        <f t="shared" si="41"/>
        <v>0</v>
      </c>
      <c r="J113" s="57">
        <f t="shared" si="41"/>
        <v>0</v>
      </c>
      <c r="K113" s="57">
        <f t="shared" si="41"/>
        <v>0</v>
      </c>
      <c r="L113" s="57">
        <f t="shared" si="41"/>
        <v>0</v>
      </c>
      <c r="M113" s="57">
        <f t="shared" si="41"/>
        <v>0</v>
      </c>
      <c r="N113" s="57">
        <f>SUM(N115:N115)</f>
        <v>0</v>
      </c>
      <c r="O113" s="39">
        <f>ROW()</f>
        <v>113</v>
      </c>
      <c r="P113" s="40"/>
      <c r="Q113" s="39"/>
    </row>
    <row r="114" spans="1:17" ht="12" customHeight="1" x14ac:dyDescent="0.3">
      <c r="A114" s="58" t="str">
        <f t="array" ref="A114:A115">IFERROR(INDEX(КБК!E4:E887,SMALL(IF((($D$113=КБК!F4:F887)*($C$113=КБК!G4:G887)*(NOT(ISERR(SEARCH($O$1,КБК!D4:D887))))),ROW(КБК!E4:E887)-3,""),ROW()-$O$113)),"")</f>
        <v/>
      </c>
      <c r="B114" s="55" t="str">
        <f t="array" ref="B114:B115">IFERROR(INDEX(КБК!H4:H887,SMALL(IF((($D$113=КБК!F4:F887)*($C$113=КБК!G4:G887)*(NOT(ISERR(SEARCH($O$1,КБК!D4:D887))))),ROW(КБК!E4:E887)-3,""),ROW()-$O$113)),"")</f>
        <v/>
      </c>
      <c r="C114" s="56">
        <v>119</v>
      </c>
      <c r="D114" s="68">
        <v>266</v>
      </c>
      <c r="E114" s="187"/>
      <c r="F114" s="131">
        <f>I114+L114</f>
        <v>0</v>
      </c>
      <c r="G114" s="57">
        <f>J114+M114</f>
        <v>0</v>
      </c>
      <c r="H114" s="132">
        <f>K114+N115</f>
        <v>0</v>
      </c>
      <c r="I114" s="70"/>
      <c r="J114" s="59"/>
      <c r="K114" s="59"/>
      <c r="L114" s="59"/>
      <c r="M114" s="59"/>
      <c r="N114" s="59"/>
      <c r="O114" s="39"/>
      <c r="P114" s="40"/>
      <c r="Q114" s="39"/>
    </row>
    <row r="115" spans="1:17" ht="12" customHeight="1" x14ac:dyDescent="0.3">
      <c r="A115" s="58" t="str">
        <v/>
      </c>
      <c r="B115" s="55" t="str">
        <v/>
      </c>
      <c r="C115" s="56">
        <v>119</v>
      </c>
      <c r="D115" s="68">
        <v>266</v>
      </c>
      <c r="E115" s="187"/>
      <c r="F115" s="131">
        <f>I115+L115</f>
        <v>0</v>
      </c>
      <c r="G115" s="57">
        <f>J115+M115</f>
        <v>0</v>
      </c>
      <c r="H115" s="132">
        <f>K115+N115</f>
        <v>0</v>
      </c>
      <c r="I115" s="70"/>
      <c r="J115" s="59"/>
      <c r="K115" s="59"/>
      <c r="L115" s="59"/>
      <c r="M115" s="59"/>
      <c r="N115" s="59"/>
      <c r="O115" s="39"/>
      <c r="P115" s="40"/>
      <c r="Q115" s="39"/>
    </row>
    <row r="116" spans="1:17" ht="12" customHeight="1" x14ac:dyDescent="0.3">
      <c r="A116" s="62" t="s">
        <v>308</v>
      </c>
      <c r="B116" s="55" t="s">
        <v>211</v>
      </c>
      <c r="C116" s="56">
        <v>300</v>
      </c>
      <c r="D116" s="68" t="s">
        <v>211</v>
      </c>
      <c r="E116" s="157">
        <v>2200</v>
      </c>
      <c r="F116" s="131">
        <f>F118+F122+F124+F126</f>
        <v>0</v>
      </c>
      <c r="G116" s="57">
        <f>G118+G122+G124+G126</f>
        <v>0</v>
      </c>
      <c r="H116" s="132">
        <f>H118+H122+H124+H126</f>
        <v>0</v>
      </c>
      <c r="I116" s="69">
        <f t="shared" ref="I116:N116" si="42">I118+I122+I124+I126</f>
        <v>0</v>
      </c>
      <c r="J116" s="57">
        <f t="shared" si="42"/>
        <v>0</v>
      </c>
      <c r="K116" s="57">
        <f t="shared" si="42"/>
        <v>0</v>
      </c>
      <c r="L116" s="57">
        <f t="shared" si="42"/>
        <v>0</v>
      </c>
      <c r="M116" s="57">
        <f t="shared" si="42"/>
        <v>0</v>
      </c>
      <c r="N116" s="57">
        <f t="shared" si="42"/>
        <v>0</v>
      </c>
      <c r="O116" s="39"/>
      <c r="P116" s="40"/>
      <c r="Q116" s="39"/>
    </row>
    <row r="117" spans="1:17" ht="12" customHeight="1" x14ac:dyDescent="0.3">
      <c r="A117" s="62" t="s">
        <v>712</v>
      </c>
      <c r="B117" s="55" t="s">
        <v>211</v>
      </c>
      <c r="C117" s="56">
        <v>320</v>
      </c>
      <c r="D117" s="68" t="s">
        <v>211</v>
      </c>
      <c r="E117" s="157">
        <v>2210</v>
      </c>
      <c r="F117" s="135">
        <f>F118</f>
        <v>0</v>
      </c>
      <c r="G117" s="57">
        <f t="shared" ref="G117:N117" si="43">G118</f>
        <v>0</v>
      </c>
      <c r="H117" s="136">
        <f t="shared" si="43"/>
        <v>0</v>
      </c>
      <c r="I117" s="72">
        <f t="shared" si="43"/>
        <v>0</v>
      </c>
      <c r="J117" s="57">
        <f t="shared" si="43"/>
        <v>0</v>
      </c>
      <c r="K117" s="57">
        <f t="shared" si="43"/>
        <v>0</v>
      </c>
      <c r="L117" s="57">
        <f t="shared" si="43"/>
        <v>0</v>
      </c>
      <c r="M117" s="57">
        <f t="shared" si="43"/>
        <v>0</v>
      </c>
      <c r="N117" s="57">
        <f t="shared" si="43"/>
        <v>0</v>
      </c>
      <c r="O117" s="39"/>
      <c r="P117" s="40"/>
      <c r="Q117" s="39"/>
    </row>
    <row r="118" spans="1:17" ht="12" customHeight="1" x14ac:dyDescent="0.3">
      <c r="A118" s="63" t="s">
        <v>712</v>
      </c>
      <c r="B118" s="55" t="s">
        <v>211</v>
      </c>
      <c r="C118" s="56">
        <v>321</v>
      </c>
      <c r="D118" s="68" t="s">
        <v>211</v>
      </c>
      <c r="E118" s="157">
        <v>2211</v>
      </c>
      <c r="F118" s="131">
        <f>SUM(F119:F121)</f>
        <v>0</v>
      </c>
      <c r="G118" s="57">
        <f>SUM(G119:G121)</f>
        <v>0</v>
      </c>
      <c r="H118" s="132">
        <f>SUM(H119:H121)</f>
        <v>0</v>
      </c>
      <c r="I118" s="69">
        <f t="shared" ref="I118:N118" si="44">SUM(I119:I121)</f>
        <v>0</v>
      </c>
      <c r="J118" s="57">
        <f t="shared" si="44"/>
        <v>0</v>
      </c>
      <c r="K118" s="57">
        <f t="shared" si="44"/>
        <v>0</v>
      </c>
      <c r="L118" s="57">
        <f t="shared" si="44"/>
        <v>0</v>
      </c>
      <c r="M118" s="57">
        <f t="shared" si="44"/>
        <v>0</v>
      </c>
      <c r="N118" s="57">
        <f t="shared" si="44"/>
        <v>0</v>
      </c>
      <c r="O118" s="39">
        <f>ROW()</f>
        <v>118</v>
      </c>
      <c r="P118" s="40"/>
      <c r="Q118" s="39"/>
    </row>
    <row r="119" spans="1:17" ht="12" customHeight="1" x14ac:dyDescent="0.3">
      <c r="A119" s="58"/>
      <c r="B119" s="55"/>
      <c r="C119" s="56">
        <v>321</v>
      </c>
      <c r="D119" s="68" t="s">
        <v>211</v>
      </c>
      <c r="E119" s="157"/>
      <c r="F119" s="131">
        <f>I119+L119</f>
        <v>0</v>
      </c>
      <c r="G119" s="57">
        <f t="shared" ref="G119:H121" si="45">J119+M119</f>
        <v>0</v>
      </c>
      <c r="H119" s="132">
        <f t="shared" si="45"/>
        <v>0</v>
      </c>
      <c r="I119" s="70"/>
      <c r="J119" s="59"/>
      <c r="K119" s="59"/>
      <c r="L119" s="59"/>
      <c r="M119" s="59"/>
      <c r="N119" s="59"/>
      <c r="O119" s="77" t="s">
        <v>589</v>
      </c>
      <c r="P119" s="40"/>
      <c r="Q119" s="39"/>
    </row>
    <row r="120" spans="1:17" ht="12" customHeight="1" x14ac:dyDescent="0.3">
      <c r="A120" s="58"/>
      <c r="B120" s="55"/>
      <c r="C120" s="56">
        <v>321</v>
      </c>
      <c r="D120" s="68" t="s">
        <v>211</v>
      </c>
      <c r="E120" s="157"/>
      <c r="F120" s="131">
        <f>I120+L120</f>
        <v>0</v>
      </c>
      <c r="G120" s="57">
        <f t="shared" si="45"/>
        <v>0</v>
      </c>
      <c r="H120" s="132">
        <f t="shared" si="45"/>
        <v>0</v>
      </c>
      <c r="I120" s="70"/>
      <c r="J120" s="59"/>
      <c r="K120" s="59"/>
      <c r="L120" s="59"/>
      <c r="M120" s="59"/>
      <c r="N120" s="59"/>
      <c r="O120" s="77" t="s">
        <v>589</v>
      </c>
      <c r="P120" s="40"/>
      <c r="Q120" s="39"/>
    </row>
    <row r="121" spans="1:17" ht="12" customHeight="1" x14ac:dyDescent="0.3">
      <c r="A121" s="58"/>
      <c r="B121" s="55"/>
      <c r="C121" s="56">
        <v>321</v>
      </c>
      <c r="D121" s="68" t="s">
        <v>211</v>
      </c>
      <c r="E121" s="157"/>
      <c r="F121" s="131">
        <f>I121+L121</f>
        <v>0</v>
      </c>
      <c r="G121" s="57">
        <f t="shared" si="45"/>
        <v>0</v>
      </c>
      <c r="H121" s="132">
        <f t="shared" si="45"/>
        <v>0</v>
      </c>
      <c r="I121" s="70"/>
      <c r="J121" s="59"/>
      <c r="K121" s="59"/>
      <c r="L121" s="59"/>
      <c r="M121" s="59"/>
      <c r="N121" s="59"/>
      <c r="O121" s="77" t="s">
        <v>589</v>
      </c>
      <c r="P121" s="40"/>
      <c r="Q121" s="39"/>
    </row>
    <row r="122" spans="1:17" ht="12" customHeight="1" x14ac:dyDescent="0.3">
      <c r="A122" s="63" t="s">
        <v>320</v>
      </c>
      <c r="B122" s="55" t="s">
        <v>211</v>
      </c>
      <c r="C122" s="56">
        <v>340</v>
      </c>
      <c r="D122" s="68" t="s">
        <v>211</v>
      </c>
      <c r="E122" s="157">
        <v>2220</v>
      </c>
      <c r="F122" s="131">
        <f>SUM(F123)</f>
        <v>0</v>
      </c>
      <c r="G122" s="57">
        <f>SUM(G123)</f>
        <v>0</v>
      </c>
      <c r="H122" s="132">
        <f>SUM(H123)</f>
        <v>0</v>
      </c>
      <c r="I122" s="69">
        <f t="shared" ref="I122:N122" si="46">SUM(I123)</f>
        <v>0</v>
      </c>
      <c r="J122" s="57">
        <f t="shared" si="46"/>
        <v>0</v>
      </c>
      <c r="K122" s="57">
        <f t="shared" si="46"/>
        <v>0</v>
      </c>
      <c r="L122" s="57">
        <f t="shared" si="46"/>
        <v>0</v>
      </c>
      <c r="M122" s="57">
        <f t="shared" si="46"/>
        <v>0</v>
      </c>
      <c r="N122" s="57">
        <f t="shared" si="46"/>
        <v>0</v>
      </c>
      <c r="O122" s="39">
        <f>ROW()</f>
        <v>122</v>
      </c>
      <c r="P122" s="40"/>
      <c r="Q122" s="39"/>
    </row>
    <row r="123" spans="1:17" ht="12" customHeight="1" x14ac:dyDescent="0.3">
      <c r="A123" s="63"/>
      <c r="B123" s="55" t="s">
        <v>211</v>
      </c>
      <c r="C123" s="56">
        <v>340</v>
      </c>
      <c r="D123" s="68" t="s">
        <v>211</v>
      </c>
      <c r="E123" s="187"/>
      <c r="F123" s="131">
        <f>I123+L123</f>
        <v>0</v>
      </c>
      <c r="G123" s="57">
        <f>J123+M123</f>
        <v>0</v>
      </c>
      <c r="H123" s="132">
        <f>K123+N123</f>
        <v>0</v>
      </c>
      <c r="I123" s="70"/>
      <c r="J123" s="59"/>
      <c r="K123" s="59"/>
      <c r="L123" s="59"/>
      <c r="M123" s="59"/>
      <c r="N123" s="59"/>
      <c r="O123" s="77" t="s">
        <v>589</v>
      </c>
      <c r="P123" s="40"/>
      <c r="Q123" s="39"/>
    </row>
    <row r="124" spans="1:17" ht="12" customHeight="1" x14ac:dyDescent="0.3">
      <c r="A124" s="63" t="s">
        <v>321</v>
      </c>
      <c r="B124" s="55" t="s">
        <v>211</v>
      </c>
      <c r="C124" s="56">
        <v>350</v>
      </c>
      <c r="D124" s="68" t="s">
        <v>211</v>
      </c>
      <c r="E124" s="157">
        <v>2230</v>
      </c>
      <c r="F124" s="131">
        <f>SUM(F125)</f>
        <v>0</v>
      </c>
      <c r="G124" s="57">
        <f>SUM(G125)</f>
        <v>0</v>
      </c>
      <c r="H124" s="132">
        <f>SUM(H125)</f>
        <v>0</v>
      </c>
      <c r="I124" s="69">
        <f t="shared" ref="I124:N124" si="47">SUM(I125)</f>
        <v>0</v>
      </c>
      <c r="J124" s="57">
        <f t="shared" si="47"/>
        <v>0</v>
      </c>
      <c r="K124" s="57">
        <f t="shared" si="47"/>
        <v>0</v>
      </c>
      <c r="L124" s="57">
        <f t="shared" si="47"/>
        <v>0</v>
      </c>
      <c r="M124" s="57">
        <f t="shared" si="47"/>
        <v>0</v>
      </c>
      <c r="N124" s="57">
        <f t="shared" si="47"/>
        <v>0</v>
      </c>
      <c r="O124" s="39">
        <f>ROW()</f>
        <v>124</v>
      </c>
      <c r="P124" s="40"/>
      <c r="Q124" s="39"/>
    </row>
    <row r="125" spans="1:17" ht="12" customHeight="1" x14ac:dyDescent="0.3">
      <c r="A125" s="58" t="str">
        <f t="array" ref="A125">IFERROR(INDEX(КБК!E4:E887,SMALL(IF((($D$125=КБК!F4:F887)*($C$125=КБК!G4:G887)*(NOT(ISERR(SEARCH($O$1,КБК!D4:D887))))),ROW(КБК!E4:E887)-3,""),ROW()-$O$124)),"")</f>
        <v/>
      </c>
      <c r="B125" s="55" t="str">
        <f t="array" ref="B125">IFERROR(INDEX(КБК!H4:H887,SMALL(IF((($D$125=КБК!F4:F887)*($C$125=КБК!G4:G887)*(NOT(ISERR(SEARCH($O$1,КБК!D4:D887))))),ROW(КБК!E4:E887)-3,""),ROW()-$O$124)),"")</f>
        <v/>
      </c>
      <c r="C125" s="56">
        <v>350</v>
      </c>
      <c r="D125" s="68">
        <v>296</v>
      </c>
      <c r="E125" s="157"/>
      <c r="F125" s="131">
        <f>I125+L125</f>
        <v>0</v>
      </c>
      <c r="G125" s="57">
        <f>J125+M125</f>
        <v>0</v>
      </c>
      <c r="H125" s="132">
        <f>K125+N125</f>
        <v>0</v>
      </c>
      <c r="I125" s="70"/>
      <c r="J125" s="59"/>
      <c r="K125" s="59"/>
      <c r="L125" s="59"/>
      <c r="M125" s="59"/>
      <c r="N125" s="59"/>
      <c r="O125" s="39"/>
      <c r="P125" s="40"/>
      <c r="Q125" s="39"/>
    </row>
    <row r="126" spans="1:17" ht="12" customHeight="1" x14ac:dyDescent="0.3">
      <c r="A126" s="63" t="s">
        <v>322</v>
      </c>
      <c r="B126" s="55" t="s">
        <v>211</v>
      </c>
      <c r="C126" s="56">
        <v>360</v>
      </c>
      <c r="D126" s="68" t="s">
        <v>211</v>
      </c>
      <c r="E126" s="157">
        <v>2240</v>
      </c>
      <c r="F126" s="131">
        <f>SUM(F127)</f>
        <v>0</v>
      </c>
      <c r="G126" s="57">
        <f>SUM(G127)</f>
        <v>0</v>
      </c>
      <c r="H126" s="132">
        <f>SUM(H127)</f>
        <v>0</v>
      </c>
      <c r="I126" s="69">
        <f t="shared" ref="I126:N126" si="48">SUM(I127)</f>
        <v>0</v>
      </c>
      <c r="J126" s="57">
        <f t="shared" si="48"/>
        <v>0</v>
      </c>
      <c r="K126" s="57">
        <f t="shared" si="48"/>
        <v>0</v>
      </c>
      <c r="L126" s="57">
        <f t="shared" si="48"/>
        <v>0</v>
      </c>
      <c r="M126" s="57">
        <f t="shared" si="48"/>
        <v>0</v>
      </c>
      <c r="N126" s="57">
        <f t="shared" si="48"/>
        <v>0</v>
      </c>
      <c r="O126" s="39"/>
      <c r="P126" s="40"/>
      <c r="Q126" s="39"/>
    </row>
    <row r="127" spans="1:17" ht="12" customHeight="1" x14ac:dyDescent="0.3">
      <c r="A127" s="58" t="str">
        <f t="array" ref="A127">IFERROR(INDEX(КБК!E4:E887,SMALL(IF((($D$127=КБК!F4:F887)*($C$127=КБК!G4:G887)*(NOT(ISERR(SEARCH($O$1,КБК!D4:D887))))),ROW(КБК!E4:E887)-3,""),ROW()-$O$118-4)),"")</f>
        <v/>
      </c>
      <c r="B127" s="55" t="str">
        <f t="array" ref="B127">IFERROR(INDEX(КБК!H4:H887,SMALL(IF((($D$127=КБК!F4:F887)*($C$127=КБК!G4:G887)*(NOT(ISERR(SEARCH($O$1,КБК!D4:D887))))),ROW(КБК!E4:E887)-3,""),ROW()-$O$118-4)),"")</f>
        <v/>
      </c>
      <c r="C127" s="56">
        <v>360</v>
      </c>
      <c r="D127" s="68">
        <v>296</v>
      </c>
      <c r="E127" s="187"/>
      <c r="F127" s="131">
        <f>I127+L127</f>
        <v>0</v>
      </c>
      <c r="G127" s="57">
        <f>J127+M127</f>
        <v>0</v>
      </c>
      <c r="H127" s="132">
        <f>K127+N127</f>
        <v>0</v>
      </c>
      <c r="I127" s="70"/>
      <c r="J127" s="59"/>
      <c r="K127" s="59"/>
      <c r="L127" s="59"/>
      <c r="M127" s="59"/>
      <c r="N127" s="59"/>
      <c r="O127" s="39"/>
      <c r="P127" s="40"/>
      <c r="Q127" s="39"/>
    </row>
    <row r="128" spans="1:17" ht="12" customHeight="1" x14ac:dyDescent="0.3">
      <c r="A128" s="62" t="s">
        <v>310</v>
      </c>
      <c r="B128" s="55" t="s">
        <v>211</v>
      </c>
      <c r="C128" s="56">
        <v>850</v>
      </c>
      <c r="D128" s="68" t="s">
        <v>211</v>
      </c>
      <c r="E128" s="157">
        <v>2300</v>
      </c>
      <c r="F128" s="131">
        <f>F129+F133+F137</f>
        <v>10300</v>
      </c>
      <c r="G128" s="57">
        <f>G129+G133+G137</f>
        <v>10300</v>
      </c>
      <c r="H128" s="132">
        <f>H129+H133+H137</f>
        <v>10300</v>
      </c>
      <c r="I128" s="69">
        <f t="shared" ref="I128:N128" si="49">I129+I133+I137</f>
        <v>10300</v>
      </c>
      <c r="J128" s="57">
        <f t="shared" si="49"/>
        <v>10300</v>
      </c>
      <c r="K128" s="57">
        <f t="shared" si="49"/>
        <v>10300</v>
      </c>
      <c r="L128" s="57">
        <f t="shared" si="49"/>
        <v>0</v>
      </c>
      <c r="M128" s="57">
        <f t="shared" si="49"/>
        <v>0</v>
      </c>
      <c r="N128" s="57">
        <f t="shared" si="49"/>
        <v>0</v>
      </c>
      <c r="O128" s="39"/>
      <c r="P128" s="40"/>
      <c r="Q128" s="39"/>
    </row>
    <row r="129" spans="1:17" ht="12" customHeight="1" x14ac:dyDescent="0.3">
      <c r="A129" s="60" t="s">
        <v>311</v>
      </c>
      <c r="B129" s="55" t="s">
        <v>211</v>
      </c>
      <c r="C129" s="56">
        <v>851</v>
      </c>
      <c r="D129" s="68">
        <v>291</v>
      </c>
      <c r="E129" s="157">
        <v>2310</v>
      </c>
      <c r="F129" s="131">
        <f>SUM(F130:F132)</f>
        <v>0</v>
      </c>
      <c r="G129" s="57">
        <f>SUM(G130:G132)</f>
        <v>0</v>
      </c>
      <c r="H129" s="132">
        <f>SUM(H130:H132)</f>
        <v>0</v>
      </c>
      <c r="I129" s="69">
        <f t="shared" ref="I129:N129" si="50">SUM(I130:I132)</f>
        <v>0</v>
      </c>
      <c r="J129" s="57">
        <f t="shared" si="50"/>
        <v>0</v>
      </c>
      <c r="K129" s="57">
        <f t="shared" si="50"/>
        <v>0</v>
      </c>
      <c r="L129" s="57">
        <f t="shared" si="50"/>
        <v>0</v>
      </c>
      <c r="M129" s="57">
        <f t="shared" si="50"/>
        <v>0</v>
      </c>
      <c r="N129" s="57">
        <f t="shared" si="50"/>
        <v>0</v>
      </c>
      <c r="O129" s="39">
        <f>ROW()</f>
        <v>129</v>
      </c>
      <c r="P129" s="40"/>
      <c r="Q129" s="39"/>
    </row>
    <row r="130" spans="1:17" ht="12" customHeight="1" x14ac:dyDescent="0.3">
      <c r="A130" s="58" t="str">
        <f t="array" ref="A130:A132">IFERROR(INDEX(КБК!E4:E887,SMALL(IF((($D$129=КБК!F4:F887)*($C$129=КБК!G4:G887)*(NOT(ISERR(SEARCH($O$1,КБК!D4:D887))))),ROW(КБК!E4:E887)-3,""),ROW()-$O$129)),"")</f>
        <v>спорт 1130387590.851.0</v>
      </c>
      <c r="B130" s="55" t="str">
        <f t="array" ref="B130:B132">IFERROR(INDEX(КБК!H4:H887,SMALL(IF((($D$129=КБК!F4:F887)*($C$129=КБК!G4:G887)*(NOT(ISERR(SEARCH($O$1,КБК!D4:D887))))),ROW(КБК!E4:E887)-3,""),ROW()-$O$129)),"")</f>
        <v>1102</v>
      </c>
      <c r="C130" s="56">
        <v>851</v>
      </c>
      <c r="D130" s="68">
        <v>291</v>
      </c>
      <c r="E130" s="157"/>
      <c r="F130" s="131">
        <f>I130+L130</f>
        <v>0</v>
      </c>
      <c r="G130" s="57">
        <f t="shared" ref="G130:H132" si="51">J130+M130</f>
        <v>0</v>
      </c>
      <c r="H130" s="132">
        <f t="shared" si="51"/>
        <v>0</v>
      </c>
      <c r="I130" s="70"/>
      <c r="J130" s="59"/>
      <c r="K130" s="59"/>
      <c r="L130" s="59"/>
      <c r="M130" s="59"/>
      <c r="N130" s="59"/>
      <c r="O130" s="39"/>
      <c r="P130" s="40"/>
      <c r="Q130" s="39"/>
    </row>
    <row r="131" spans="1:17" ht="12" customHeight="1" x14ac:dyDescent="0.3">
      <c r="A131" s="58" t="str">
        <v/>
      </c>
      <c r="B131" s="55" t="str">
        <v/>
      </c>
      <c r="C131" s="56">
        <v>851</v>
      </c>
      <c r="D131" s="68">
        <v>291</v>
      </c>
      <c r="E131" s="157"/>
      <c r="F131" s="131">
        <f>I131+L131</f>
        <v>0</v>
      </c>
      <c r="G131" s="57">
        <f t="shared" si="51"/>
        <v>0</v>
      </c>
      <c r="H131" s="132">
        <f t="shared" si="51"/>
        <v>0</v>
      </c>
      <c r="I131" s="70"/>
      <c r="J131" s="59"/>
      <c r="K131" s="59"/>
      <c r="L131" s="59"/>
      <c r="M131" s="59"/>
      <c r="N131" s="59"/>
      <c r="O131" s="39"/>
      <c r="P131" s="40"/>
      <c r="Q131" s="39"/>
    </row>
    <row r="132" spans="1:17" ht="12" customHeight="1" x14ac:dyDescent="0.3">
      <c r="A132" s="58" t="str">
        <v/>
      </c>
      <c r="B132" s="55" t="str">
        <v/>
      </c>
      <c r="C132" s="56">
        <v>851</v>
      </c>
      <c r="D132" s="68">
        <v>291</v>
      </c>
      <c r="E132" s="157"/>
      <c r="F132" s="131">
        <f>I132+L132</f>
        <v>0</v>
      </c>
      <c r="G132" s="57">
        <f t="shared" si="51"/>
        <v>0</v>
      </c>
      <c r="H132" s="132">
        <f t="shared" si="51"/>
        <v>0</v>
      </c>
      <c r="I132" s="70"/>
      <c r="J132" s="59"/>
      <c r="K132" s="59"/>
      <c r="L132" s="59"/>
      <c r="M132" s="59"/>
      <c r="N132" s="59"/>
      <c r="O132" s="39"/>
      <c r="P132" s="40"/>
      <c r="Q132" s="39"/>
    </row>
    <row r="133" spans="1:17" ht="12" customHeight="1" x14ac:dyDescent="0.3">
      <c r="A133" s="60" t="s">
        <v>742</v>
      </c>
      <c r="B133" s="55" t="s">
        <v>211</v>
      </c>
      <c r="C133" s="56">
        <v>852</v>
      </c>
      <c r="D133" s="68">
        <v>291</v>
      </c>
      <c r="E133" s="157">
        <v>2320</v>
      </c>
      <c r="F133" s="131">
        <f>SUM(F134:F136)</f>
        <v>9800</v>
      </c>
      <c r="G133" s="57">
        <f>SUM(G134:G136)</f>
        <v>9800</v>
      </c>
      <c r="H133" s="132">
        <f>SUM(H134:H136)</f>
        <v>9800</v>
      </c>
      <c r="I133" s="69">
        <f t="shared" ref="I133:N133" si="52">SUM(I134:I136)</f>
        <v>9800</v>
      </c>
      <c r="J133" s="57">
        <f t="shared" si="52"/>
        <v>9800</v>
      </c>
      <c r="K133" s="57">
        <f t="shared" si="52"/>
        <v>9800</v>
      </c>
      <c r="L133" s="57">
        <f t="shared" si="52"/>
        <v>0</v>
      </c>
      <c r="M133" s="57">
        <f t="shared" si="52"/>
        <v>0</v>
      </c>
      <c r="N133" s="57">
        <f t="shared" si="52"/>
        <v>0</v>
      </c>
      <c r="O133" s="39">
        <f>ROW()</f>
        <v>133</v>
      </c>
      <c r="P133" s="40"/>
      <c r="Q133" s="39"/>
    </row>
    <row r="134" spans="1:17" ht="12" customHeight="1" x14ac:dyDescent="0.3">
      <c r="A134" s="58" t="str">
        <f t="array" ref="A134:A136">IFERROR(INDEX(КБК!E4:E887,SMALL(IF((($D$133=КБК!F4:F887)*($C$133=КБК!G4:G887)*(NOT(ISERR(SEARCH($O$1,КБК!D4:D887))))),ROW(КБК!E4:E887)-3,""),ROW()-$O$133)),"")</f>
        <v>доходы 0000000131.852.0</v>
      </c>
      <c r="B134" s="55" t="str">
        <f t="array" ref="B134:B136">IFERROR(INDEX(КБК!H4:H887,SMALL(IF((($D$133=КБК!F4:F887)*($C$133=КБК!G4:G887)*(NOT(ISERR(SEARCH($O$1,КБК!D4:D887))))),ROW(КБК!E4:E887)-3,""),ROW()-$O$133)),"")</f>
        <v>1102</v>
      </c>
      <c r="C134" s="56">
        <v>852</v>
      </c>
      <c r="D134" s="68">
        <v>291</v>
      </c>
      <c r="E134" s="187"/>
      <c r="F134" s="131">
        <f t="shared" ref="F134:H136" si="53">I134+L134</f>
        <v>3500</v>
      </c>
      <c r="G134" s="57">
        <f t="shared" si="53"/>
        <v>3500</v>
      </c>
      <c r="H134" s="132">
        <f t="shared" si="53"/>
        <v>3500</v>
      </c>
      <c r="I134" s="70">
        <v>3500</v>
      </c>
      <c r="J134" s="59">
        <v>3500</v>
      </c>
      <c r="K134" s="59">
        <v>3500</v>
      </c>
      <c r="L134" s="59"/>
      <c r="M134" s="59"/>
      <c r="N134" s="59"/>
      <c r="O134" s="39"/>
      <c r="P134" s="40"/>
      <c r="Q134" s="39"/>
    </row>
    <row r="135" spans="1:17" ht="12" customHeight="1" x14ac:dyDescent="0.3">
      <c r="A135" s="58" t="str">
        <v>спорт 1130387590.852.0</v>
      </c>
      <c r="B135" s="55" t="str">
        <v>1102</v>
      </c>
      <c r="C135" s="56">
        <v>852</v>
      </c>
      <c r="D135" s="68">
        <v>291</v>
      </c>
      <c r="E135" s="187"/>
      <c r="F135" s="131">
        <f t="shared" si="53"/>
        <v>6300</v>
      </c>
      <c r="G135" s="57">
        <f t="shared" si="53"/>
        <v>6300</v>
      </c>
      <c r="H135" s="132">
        <f t="shared" si="53"/>
        <v>6300</v>
      </c>
      <c r="I135" s="70">
        <v>6300</v>
      </c>
      <c r="J135" s="59">
        <v>6300</v>
      </c>
      <c r="K135" s="59">
        <v>6300</v>
      </c>
      <c r="L135" s="59"/>
      <c r="M135" s="59"/>
      <c r="N135" s="59"/>
      <c r="O135" s="39"/>
      <c r="P135" s="40"/>
      <c r="Q135" s="39"/>
    </row>
    <row r="136" spans="1:17" ht="12" customHeight="1" x14ac:dyDescent="0.3">
      <c r="A136" s="58" t="str">
        <v/>
      </c>
      <c r="B136" s="55" t="str">
        <v/>
      </c>
      <c r="C136" s="56">
        <v>852</v>
      </c>
      <c r="D136" s="68">
        <v>291</v>
      </c>
      <c r="E136" s="187"/>
      <c r="F136" s="131">
        <f t="shared" si="53"/>
        <v>0</v>
      </c>
      <c r="G136" s="57">
        <f t="shared" si="53"/>
        <v>0</v>
      </c>
      <c r="H136" s="132">
        <f t="shared" si="53"/>
        <v>0</v>
      </c>
      <c r="I136" s="70"/>
      <c r="J136" s="59"/>
      <c r="K136" s="59"/>
      <c r="L136" s="59"/>
      <c r="M136" s="59"/>
      <c r="N136" s="59"/>
      <c r="O136" s="39"/>
      <c r="P136" s="40"/>
      <c r="Q136" s="39"/>
    </row>
    <row r="137" spans="1:17" ht="12" customHeight="1" x14ac:dyDescent="0.3">
      <c r="A137" s="62" t="s">
        <v>743</v>
      </c>
      <c r="B137" s="55" t="s">
        <v>211</v>
      </c>
      <c r="C137" s="56">
        <v>853</v>
      </c>
      <c r="D137" s="68" t="s">
        <v>211</v>
      </c>
      <c r="E137" s="157">
        <v>2330</v>
      </c>
      <c r="F137" s="57">
        <f>SUM(F138:F146)</f>
        <v>500</v>
      </c>
      <c r="G137" s="57">
        <f>SUM(G138:G146)</f>
        <v>500</v>
      </c>
      <c r="H137" s="132">
        <f t="shared" ref="H137:N137" si="54">SUM(H138:H146)</f>
        <v>500</v>
      </c>
      <c r="I137" s="69">
        <f t="shared" si="54"/>
        <v>500</v>
      </c>
      <c r="J137" s="57">
        <f t="shared" si="54"/>
        <v>500</v>
      </c>
      <c r="K137" s="57">
        <f t="shared" si="54"/>
        <v>500</v>
      </c>
      <c r="L137" s="57">
        <f t="shared" si="54"/>
        <v>0</v>
      </c>
      <c r="M137" s="57">
        <f t="shared" si="54"/>
        <v>0</v>
      </c>
      <c r="N137" s="57">
        <f t="shared" si="54"/>
        <v>0</v>
      </c>
      <c r="O137" s="39"/>
      <c r="P137" s="40"/>
      <c r="Q137" s="39"/>
    </row>
    <row r="138" spans="1:17" ht="12" customHeight="1" x14ac:dyDescent="0.3">
      <c r="A138" s="58" t="str">
        <f t="array" ref="A138">IFERROR(INDEX(КБК!E4:E887,SMALL(IF((($D$138=КБК!F4:F887)*($C$138=КБК!G4:G887)*(NOT(ISERR(SEARCH($O$1,КБК!D4:D887))))),ROW(КБК!E4:E887)-3,""),ROW()-$O$138+1)),"")</f>
        <v>спорт 1130387590.853.0</v>
      </c>
      <c r="B138" s="55" t="str">
        <f t="array" ref="B138">IFERROR(INDEX(КБК!H4:H887,SMALL(IF((($D$138=КБК!F4:F887)*($C$138=КБК!G4:G887)*(NOT(ISERR(SEARCH($O$1,КБК!D4:D887))))),ROW(КБК!E4:E887)-3,""),ROW()-$O$138+1)),"")</f>
        <v>1102</v>
      </c>
      <c r="C138" s="56">
        <v>853</v>
      </c>
      <c r="D138" s="68">
        <v>291</v>
      </c>
      <c r="E138" s="157"/>
      <c r="F138" s="135">
        <f>I138+L138</f>
        <v>0</v>
      </c>
      <c r="G138" s="57">
        <f>J138+M138</f>
        <v>0</v>
      </c>
      <c r="H138" s="136">
        <f>K138+N138</f>
        <v>0</v>
      </c>
      <c r="I138" s="71"/>
      <c r="J138" s="59"/>
      <c r="K138" s="59"/>
      <c r="L138" s="59"/>
      <c r="M138" s="59"/>
      <c r="N138" s="59"/>
      <c r="O138" s="39">
        <f>ROW()</f>
        <v>138</v>
      </c>
      <c r="P138" s="40"/>
      <c r="Q138" s="39"/>
    </row>
    <row r="139" spans="1:17" ht="12" customHeight="1" x14ac:dyDescent="0.3">
      <c r="A139" s="58" t="str">
        <f t="array" ref="A139:A141">IFERROR(INDEX(КБК!E4:E887,SMALL(IF((($D$139=КБК!F4:F887)*($C$139=КБК!G4:G887)*(NOT(ISERR(SEARCH($O$1,КБК!D4:D887))))),ROW(КБК!E4:E887)-3,""),ROW()-$O$139+1)),"")</f>
        <v>доходы 0000000131.853.0</v>
      </c>
      <c r="B139" s="55" t="str">
        <f t="array" ref="B139:B141">IFERROR(INDEX(КБК!H4:H887,SMALL(IF((($D$139=КБК!F4:F887)*($C$139=КБК!G4:G887)*(NOT(ISERR(SEARCH($O$1,КБК!D4:D887))))),ROW(КБК!E4:E887)-3,""),ROW()-$O$139+1)),"")</f>
        <v>1102</v>
      </c>
      <c r="C139" s="56">
        <v>853</v>
      </c>
      <c r="D139" s="68">
        <v>292</v>
      </c>
      <c r="E139" s="187"/>
      <c r="F139" s="135">
        <f t="shared" ref="F139:H141" si="55">I139+L139</f>
        <v>500</v>
      </c>
      <c r="G139" s="57">
        <f t="shared" si="55"/>
        <v>500</v>
      </c>
      <c r="H139" s="136">
        <f t="shared" si="55"/>
        <v>500</v>
      </c>
      <c r="I139" s="71">
        <v>500</v>
      </c>
      <c r="J139" s="59">
        <v>500</v>
      </c>
      <c r="K139" s="59">
        <v>500</v>
      </c>
      <c r="L139" s="59"/>
      <c r="M139" s="59"/>
      <c r="N139" s="59"/>
      <c r="O139" s="39">
        <f>ROW()</f>
        <v>139</v>
      </c>
      <c r="P139" s="40"/>
      <c r="Q139" s="39"/>
    </row>
    <row r="140" spans="1:17" ht="12" customHeight="1" x14ac:dyDescent="0.3">
      <c r="A140" s="58" t="str">
        <v/>
      </c>
      <c r="B140" s="55" t="str">
        <v/>
      </c>
      <c r="C140" s="56">
        <v>853</v>
      </c>
      <c r="D140" s="68">
        <v>292</v>
      </c>
      <c r="E140" s="187"/>
      <c r="F140" s="135">
        <f t="shared" si="55"/>
        <v>0</v>
      </c>
      <c r="G140" s="57">
        <f t="shared" si="55"/>
        <v>0</v>
      </c>
      <c r="H140" s="136">
        <f t="shared" si="55"/>
        <v>0</v>
      </c>
      <c r="I140" s="71"/>
      <c r="J140" s="59"/>
      <c r="K140" s="59"/>
      <c r="L140" s="59"/>
      <c r="M140" s="59"/>
      <c r="N140" s="59"/>
      <c r="O140" s="39"/>
      <c r="P140" s="40"/>
      <c r="Q140" s="39"/>
    </row>
    <row r="141" spans="1:17" ht="12" customHeight="1" x14ac:dyDescent="0.3">
      <c r="A141" s="58" t="str">
        <v/>
      </c>
      <c r="B141" s="55" t="str">
        <v/>
      </c>
      <c r="C141" s="56">
        <v>853</v>
      </c>
      <c r="D141" s="68">
        <v>292</v>
      </c>
      <c r="E141" s="187"/>
      <c r="F141" s="135">
        <f t="shared" si="55"/>
        <v>0</v>
      </c>
      <c r="G141" s="57">
        <f t="shared" si="55"/>
        <v>0</v>
      </c>
      <c r="H141" s="136">
        <f t="shared" si="55"/>
        <v>0</v>
      </c>
      <c r="I141" s="71"/>
      <c r="J141" s="59"/>
      <c r="K141" s="59"/>
      <c r="L141" s="59"/>
      <c r="M141" s="59"/>
      <c r="N141" s="59"/>
      <c r="O141" s="39"/>
      <c r="P141" s="40"/>
      <c r="Q141" s="39"/>
    </row>
    <row r="142" spans="1:17" ht="12" customHeight="1" x14ac:dyDescent="0.3">
      <c r="A142" s="58" t="str">
        <f t="array" ref="A142:A143">IFERROR(INDEX(КБК!E4:E887,SMALL(IF((($D$142=КБК!F4:F887)*($C$142=КБК!G4:G887)*(NOT(ISERR(SEARCH($O$1,КБК!D4:D887))))),ROW(КБК!E4:E887)-3,""),ROW()-$O$142+1)),"")</f>
        <v>спорт 1130387590.853.0</v>
      </c>
      <c r="B142" s="55" t="str">
        <f t="array" ref="B142:B143">IFERROR(INDEX(КБК!H4:H887,SMALL(IF((($D$142=КБК!F4:F887)*($C$142=КБК!G4:G887)*(NOT(ISERR(SEARCH($O$1,КБК!D4:D887))))),ROW(КБК!E4:E887)-3,""),ROW()-$O$142+1)),"")</f>
        <v>1102</v>
      </c>
      <c r="C142" s="56">
        <v>853</v>
      </c>
      <c r="D142" s="68">
        <v>293</v>
      </c>
      <c r="E142" s="157"/>
      <c r="F142" s="135">
        <f t="shared" ref="F142:H143" si="56">I142+L142</f>
        <v>0</v>
      </c>
      <c r="G142" s="57">
        <f t="shared" si="56"/>
        <v>0</v>
      </c>
      <c r="H142" s="136">
        <f t="shared" si="56"/>
        <v>0</v>
      </c>
      <c r="I142" s="71"/>
      <c r="J142" s="59"/>
      <c r="K142" s="59"/>
      <c r="L142" s="59"/>
      <c r="M142" s="59"/>
      <c r="N142" s="59"/>
      <c r="O142" s="39">
        <f>ROW()</f>
        <v>142</v>
      </c>
      <c r="P142" s="40"/>
      <c r="Q142" s="39"/>
    </row>
    <row r="143" spans="1:17" ht="12" customHeight="1" x14ac:dyDescent="0.3">
      <c r="A143" s="58" t="str">
        <v/>
      </c>
      <c r="B143" s="55" t="str">
        <v/>
      </c>
      <c r="C143" s="56">
        <v>853</v>
      </c>
      <c r="D143" s="68">
        <v>293</v>
      </c>
      <c r="E143" s="157"/>
      <c r="F143" s="135">
        <f t="shared" si="56"/>
        <v>0</v>
      </c>
      <c r="G143" s="57">
        <f t="shared" si="56"/>
        <v>0</v>
      </c>
      <c r="H143" s="136">
        <f t="shared" si="56"/>
        <v>0</v>
      </c>
      <c r="I143" s="71"/>
      <c r="J143" s="59"/>
      <c r="K143" s="59"/>
      <c r="L143" s="59"/>
      <c r="M143" s="59"/>
      <c r="N143" s="59"/>
      <c r="O143" s="39"/>
      <c r="P143" s="40"/>
      <c r="Q143" s="39"/>
    </row>
    <row r="144" spans="1:17" ht="12" customHeight="1" x14ac:dyDescent="0.3">
      <c r="A144" s="58" t="str">
        <f t="array" ref="A144:A145">IFERROR(INDEX(КБК!E4:E887,SMALL(IF((($D$144=КБК!F4:F887)*($C$144=КБК!G4:G887)*(NOT(ISERR(SEARCH($O$1,КБК!D4:D887))))),ROW(КБК!E4:E887)-3,""),ROW()-$O$144+1)),"")</f>
        <v/>
      </c>
      <c r="B144" s="55" t="str">
        <f t="array" ref="B144:B145">IFERROR(INDEX(КБК!H4:H887,SMALL(IF((($D$144=КБК!F4:F887)*($C$144=КБК!G4:G887)*(NOT(ISERR(SEARCH($O$1,КБК!D4:D887))))),ROW(КБК!E4:E887)-3,""),ROW()-$O$144+1)),"")</f>
        <v/>
      </c>
      <c r="C144" s="56">
        <v>853</v>
      </c>
      <c r="D144" s="68">
        <v>295</v>
      </c>
      <c r="E144" s="187"/>
      <c r="F144" s="135">
        <f t="shared" ref="F144:H146" si="57">I144+L144</f>
        <v>0</v>
      </c>
      <c r="G144" s="57">
        <f t="shared" si="57"/>
        <v>0</v>
      </c>
      <c r="H144" s="136">
        <f t="shared" si="57"/>
        <v>0</v>
      </c>
      <c r="I144" s="71"/>
      <c r="J144" s="59"/>
      <c r="K144" s="59"/>
      <c r="L144" s="59"/>
      <c r="M144" s="59"/>
      <c r="N144" s="59"/>
      <c r="O144" s="39">
        <f>ROW()</f>
        <v>144</v>
      </c>
      <c r="P144" s="40"/>
      <c r="Q144" s="39"/>
    </row>
    <row r="145" spans="1:17" ht="12" customHeight="1" x14ac:dyDescent="0.3">
      <c r="A145" s="58" t="str">
        <v/>
      </c>
      <c r="B145" s="55" t="str">
        <v/>
      </c>
      <c r="C145" s="56">
        <v>853</v>
      </c>
      <c r="D145" s="68">
        <v>295</v>
      </c>
      <c r="E145" s="187"/>
      <c r="F145" s="135">
        <f t="shared" si="57"/>
        <v>0</v>
      </c>
      <c r="G145" s="57">
        <f t="shared" si="57"/>
        <v>0</v>
      </c>
      <c r="H145" s="136">
        <f t="shared" si="57"/>
        <v>0</v>
      </c>
      <c r="I145" s="71"/>
      <c r="J145" s="59"/>
      <c r="K145" s="59"/>
      <c r="L145" s="59"/>
      <c r="M145" s="59"/>
      <c r="N145" s="59"/>
      <c r="O145" s="39"/>
      <c r="P145" s="40"/>
      <c r="Q145" s="39"/>
    </row>
    <row r="146" spans="1:17" ht="12" customHeight="1" x14ac:dyDescent="0.3">
      <c r="A146" s="58" t="str">
        <f>IFERROR(INDEX(КБК!E4:E887,SMALL(IF((($D$146=КБК!F4:F887)*($C$146=КБК!G4:G887)*(NOT(ISERR(SEARCH($O$1,КБК!D4:D887))))),ROW(КБК!E4:E887)-3,""),ROW()-$O$146+1)),"")</f>
        <v/>
      </c>
      <c r="B146" s="55" t="str">
        <f t="array" ref="B146">IFERROR(INDEX(КБК!H4:H887,SMALL(IF((($D$146=КБК!F4:F887)*($C$146=КБК!G4:G887)*(NOT(ISERR(SEARCH($O$1,КБК!D4:D887))))),ROW(КБК!E4:E887)-3,""),ROW()-$O$146+1)),"")</f>
        <v/>
      </c>
      <c r="C146" s="56">
        <v>853</v>
      </c>
      <c r="D146" s="68">
        <v>296</v>
      </c>
      <c r="E146" s="157"/>
      <c r="F146" s="135">
        <f t="shared" si="57"/>
        <v>0</v>
      </c>
      <c r="G146" s="73">
        <f>J146+M146</f>
        <v>0</v>
      </c>
      <c r="H146" s="132">
        <f>K146+N146</f>
        <v>0</v>
      </c>
      <c r="I146" s="70"/>
      <c r="J146" s="74"/>
      <c r="K146" s="74"/>
      <c r="L146" s="74"/>
      <c r="M146" s="74"/>
      <c r="N146" s="59"/>
      <c r="O146" s="39">
        <f>ROW()</f>
        <v>146</v>
      </c>
      <c r="P146" s="40"/>
      <c r="Q146" s="39"/>
    </row>
    <row r="147" spans="1:17" ht="12" customHeight="1" x14ac:dyDescent="0.3">
      <c r="A147" s="62" t="s">
        <v>713</v>
      </c>
      <c r="B147" s="55" t="s">
        <v>211</v>
      </c>
      <c r="C147" s="56" t="s">
        <v>211</v>
      </c>
      <c r="D147" s="68" t="s">
        <v>211</v>
      </c>
      <c r="E147" s="157">
        <v>2400</v>
      </c>
      <c r="F147" s="135">
        <f>F148+F149+F150+F151+F152+F153</f>
        <v>0</v>
      </c>
      <c r="G147" s="57">
        <f t="shared" ref="G147:N147" si="58">G148+G149+G150+G151+G152+G153</f>
        <v>0</v>
      </c>
      <c r="H147" s="132">
        <f t="shared" si="58"/>
        <v>0</v>
      </c>
      <c r="I147" s="72">
        <f t="shared" si="58"/>
        <v>0</v>
      </c>
      <c r="J147" s="57">
        <f t="shared" si="58"/>
        <v>0</v>
      </c>
      <c r="K147" s="57">
        <f t="shared" si="58"/>
        <v>0</v>
      </c>
      <c r="L147" s="57">
        <f t="shared" si="58"/>
        <v>0</v>
      </c>
      <c r="M147" s="57">
        <f t="shared" si="58"/>
        <v>0</v>
      </c>
      <c r="N147" s="57">
        <f t="shared" si="58"/>
        <v>0</v>
      </c>
      <c r="O147" s="39"/>
      <c r="P147" s="40"/>
      <c r="Q147" s="39"/>
    </row>
    <row r="148" spans="1:17" ht="12" customHeight="1" x14ac:dyDescent="0.3">
      <c r="A148" s="62" t="s">
        <v>714</v>
      </c>
      <c r="B148" s="55" t="s">
        <v>211</v>
      </c>
      <c r="C148" s="56">
        <v>613</v>
      </c>
      <c r="D148" s="68" t="s">
        <v>211</v>
      </c>
      <c r="E148" s="157">
        <v>2410</v>
      </c>
      <c r="F148" s="135"/>
      <c r="G148" s="73"/>
      <c r="H148" s="132"/>
      <c r="I148" s="72"/>
      <c r="J148" s="73"/>
      <c r="K148" s="73"/>
      <c r="L148" s="73"/>
      <c r="M148" s="73"/>
      <c r="N148" s="57"/>
      <c r="O148" s="39"/>
      <c r="P148" s="40"/>
      <c r="Q148" s="39"/>
    </row>
    <row r="149" spans="1:17" ht="12" customHeight="1" x14ac:dyDescent="0.3">
      <c r="A149" s="159" t="s">
        <v>715</v>
      </c>
      <c r="B149" s="55" t="s">
        <v>211</v>
      </c>
      <c r="C149" s="56">
        <v>623</v>
      </c>
      <c r="D149" s="68" t="s">
        <v>211</v>
      </c>
      <c r="E149" s="157">
        <v>2420</v>
      </c>
      <c r="F149" s="135"/>
      <c r="G149" s="73"/>
      <c r="H149" s="132"/>
      <c r="I149" s="72"/>
      <c r="J149" s="73"/>
      <c r="K149" s="73"/>
      <c r="L149" s="73"/>
      <c r="M149" s="73"/>
      <c r="N149" s="57"/>
      <c r="O149" s="39"/>
      <c r="P149" s="40"/>
      <c r="Q149" s="39"/>
    </row>
    <row r="150" spans="1:17" ht="12" customHeight="1" x14ac:dyDescent="0.3">
      <c r="A150" s="159" t="s">
        <v>716</v>
      </c>
      <c r="B150" s="55" t="s">
        <v>211</v>
      </c>
      <c r="C150" s="56">
        <v>634</v>
      </c>
      <c r="D150" s="68" t="s">
        <v>211</v>
      </c>
      <c r="E150" s="157">
        <v>2430</v>
      </c>
      <c r="F150" s="135"/>
      <c r="G150" s="73"/>
      <c r="H150" s="132"/>
      <c r="I150" s="72"/>
      <c r="J150" s="73"/>
      <c r="K150" s="73"/>
      <c r="L150" s="73"/>
      <c r="M150" s="73"/>
      <c r="N150" s="57"/>
      <c r="O150" s="39"/>
      <c r="P150" s="40"/>
      <c r="Q150" s="39"/>
    </row>
    <row r="151" spans="1:17" ht="12" customHeight="1" x14ac:dyDescent="0.3">
      <c r="A151" s="159" t="s">
        <v>717</v>
      </c>
      <c r="B151" s="55" t="s">
        <v>211</v>
      </c>
      <c r="C151" s="56">
        <v>810</v>
      </c>
      <c r="D151" s="68" t="s">
        <v>211</v>
      </c>
      <c r="E151" s="157">
        <v>2440</v>
      </c>
      <c r="F151" s="135"/>
      <c r="G151" s="73"/>
      <c r="H151" s="132"/>
      <c r="I151" s="72"/>
      <c r="J151" s="73"/>
      <c r="K151" s="73"/>
      <c r="L151" s="73"/>
      <c r="M151" s="73"/>
      <c r="N151" s="57"/>
      <c r="O151" s="39"/>
      <c r="P151" s="40"/>
      <c r="Q151" s="39"/>
    </row>
    <row r="152" spans="1:17" ht="12" customHeight="1" x14ac:dyDescent="0.3">
      <c r="A152" s="159" t="s">
        <v>718</v>
      </c>
      <c r="B152" s="55" t="s">
        <v>211</v>
      </c>
      <c r="C152" s="56">
        <v>862</v>
      </c>
      <c r="D152" s="68" t="s">
        <v>211</v>
      </c>
      <c r="E152" s="157">
        <v>2450</v>
      </c>
      <c r="F152" s="135"/>
      <c r="G152" s="73"/>
      <c r="H152" s="132"/>
      <c r="I152" s="72"/>
      <c r="J152" s="73"/>
      <c r="K152" s="73"/>
      <c r="L152" s="73"/>
      <c r="M152" s="73"/>
      <c r="N152" s="57"/>
      <c r="O152" s="39"/>
      <c r="P152" s="40"/>
      <c r="Q152" s="39"/>
    </row>
    <row r="153" spans="1:17" ht="12" customHeight="1" x14ac:dyDescent="0.3">
      <c r="A153" s="159" t="s">
        <v>719</v>
      </c>
      <c r="B153" s="55" t="s">
        <v>211</v>
      </c>
      <c r="C153" s="56">
        <v>863</v>
      </c>
      <c r="D153" s="68" t="s">
        <v>211</v>
      </c>
      <c r="E153" s="157">
        <v>2460</v>
      </c>
      <c r="F153" s="135"/>
      <c r="G153" s="73"/>
      <c r="H153" s="132"/>
      <c r="I153" s="72"/>
      <c r="J153" s="73"/>
      <c r="K153" s="73"/>
      <c r="L153" s="73"/>
      <c r="M153" s="73"/>
      <c r="N153" s="57"/>
      <c r="O153" s="39"/>
      <c r="P153" s="40"/>
      <c r="Q153" s="39"/>
    </row>
    <row r="154" spans="1:17" ht="12" customHeight="1" x14ac:dyDescent="0.3">
      <c r="A154" s="160" t="s">
        <v>721</v>
      </c>
      <c r="B154" s="55" t="s">
        <v>211</v>
      </c>
      <c r="C154" s="56" t="s">
        <v>211</v>
      </c>
      <c r="D154" s="68" t="s">
        <v>211</v>
      </c>
      <c r="E154" s="157">
        <v>2500</v>
      </c>
      <c r="F154" s="135">
        <f>F155</f>
        <v>0</v>
      </c>
      <c r="G154" s="57">
        <f t="shared" ref="G154:N154" si="59">G155</f>
        <v>0</v>
      </c>
      <c r="H154" s="136">
        <f t="shared" si="59"/>
        <v>0</v>
      </c>
      <c r="I154" s="72">
        <f t="shared" si="59"/>
        <v>0</v>
      </c>
      <c r="J154" s="57">
        <f t="shared" si="59"/>
        <v>0</v>
      </c>
      <c r="K154" s="57">
        <f t="shared" si="59"/>
        <v>0</v>
      </c>
      <c r="L154" s="57">
        <f t="shared" si="59"/>
        <v>0</v>
      </c>
      <c r="M154" s="57">
        <f t="shared" si="59"/>
        <v>0</v>
      </c>
      <c r="N154" s="57">
        <f t="shared" si="59"/>
        <v>0</v>
      </c>
      <c r="O154" s="39"/>
      <c r="P154" s="40"/>
      <c r="Q154" s="39"/>
    </row>
    <row r="155" spans="1:17" ht="12" customHeight="1" x14ac:dyDescent="0.3">
      <c r="A155" s="60" t="s">
        <v>309</v>
      </c>
      <c r="B155" s="55" t="s">
        <v>211</v>
      </c>
      <c r="C155" s="56">
        <v>831</v>
      </c>
      <c r="D155" s="68" t="s">
        <v>211</v>
      </c>
      <c r="E155" s="157">
        <v>2520</v>
      </c>
      <c r="F155" s="135">
        <f>SUM(F156:F161)</f>
        <v>0</v>
      </c>
      <c r="G155" s="57">
        <f t="shared" ref="G155:N155" si="60">SUM(G156:G161)</f>
        <v>0</v>
      </c>
      <c r="H155" s="72">
        <f t="shared" si="60"/>
        <v>0</v>
      </c>
      <c r="I155" s="135">
        <f t="shared" si="60"/>
        <v>0</v>
      </c>
      <c r="J155" s="57">
        <f t="shared" si="60"/>
        <v>0</v>
      </c>
      <c r="K155" s="57">
        <f t="shared" si="60"/>
        <v>0</v>
      </c>
      <c r="L155" s="57">
        <f t="shared" si="60"/>
        <v>0</v>
      </c>
      <c r="M155" s="57">
        <f t="shared" si="60"/>
        <v>0</v>
      </c>
      <c r="N155" s="72">
        <f t="shared" si="60"/>
        <v>0</v>
      </c>
      <c r="O155" s="39"/>
      <c r="P155" s="40"/>
      <c r="Q155" s="39"/>
    </row>
    <row r="156" spans="1:17" ht="12" customHeight="1" x14ac:dyDescent="0.3">
      <c r="A156" s="58" t="str">
        <f t="array" ref="A156:A157">IFERROR(INDEX(КБК!E4:E887,SMALL(IF((($D$156=КБК!F4:F887)*($C$156=КБК!G4:G887)*(NOT(ISERR(SEARCH($O$1,КБК!D4:D887))))),ROW(КБК!E4:E887)-3,""),ROW()-O156+1)),"")</f>
        <v/>
      </c>
      <c r="B156" s="55" t="str">
        <f t="array" ref="B156:B157">IFERROR(INDEX(КБК!H4:H887,SMALL(IF((($D$156=КБК!F4:F887)*($C$156=КБК!G4:G887)*(NOT(ISERR(SEARCH($O$1,КБК!D4:D887))))),ROW(КБК!E4:E887)-3,""),ROW()-O156+1)),"")</f>
        <v/>
      </c>
      <c r="C156" s="56">
        <v>831</v>
      </c>
      <c r="D156" s="68">
        <v>293</v>
      </c>
      <c r="E156" s="187"/>
      <c r="F156" s="131">
        <f t="shared" ref="F156:H157" si="61">I156+L156</f>
        <v>0</v>
      </c>
      <c r="G156" s="57">
        <f t="shared" si="61"/>
        <v>0</v>
      </c>
      <c r="H156" s="132">
        <f t="shared" si="61"/>
        <v>0</v>
      </c>
      <c r="I156" s="70"/>
      <c r="J156" s="59"/>
      <c r="K156" s="59"/>
      <c r="L156" s="59"/>
      <c r="M156" s="59"/>
      <c r="N156" s="59"/>
      <c r="O156" s="39">
        <f>ROW()</f>
        <v>156</v>
      </c>
      <c r="P156" s="40"/>
      <c r="Q156" s="39"/>
    </row>
    <row r="157" spans="1:17" ht="12" customHeight="1" x14ac:dyDescent="0.3">
      <c r="A157" s="58" t="str">
        <v/>
      </c>
      <c r="B157" s="55" t="str">
        <v/>
      </c>
      <c r="C157" s="56">
        <v>831</v>
      </c>
      <c r="D157" s="68">
        <v>293</v>
      </c>
      <c r="E157" s="187"/>
      <c r="F157" s="131">
        <f t="shared" si="61"/>
        <v>0</v>
      </c>
      <c r="G157" s="57">
        <f t="shared" si="61"/>
        <v>0</v>
      </c>
      <c r="H157" s="132">
        <f t="shared" si="61"/>
        <v>0</v>
      </c>
      <c r="I157" s="70"/>
      <c r="J157" s="59"/>
      <c r="K157" s="59"/>
      <c r="L157" s="59"/>
      <c r="M157" s="59"/>
      <c r="N157" s="59"/>
      <c r="O157" s="39"/>
      <c r="P157" s="40"/>
      <c r="Q157" s="39"/>
    </row>
    <row r="158" spans="1:17" ht="12" customHeight="1" x14ac:dyDescent="0.3">
      <c r="A158" s="58" t="str">
        <f t="array" ref="A158:A159">IFERROR(INDEX(КБК!E4:E887,SMALL(IF((($D$158=КБК!F4:F887)*($C$158=КБК!G4:G887)*(NOT(ISERR(SEARCH($O$1,КБК!D4:D887))))),ROW(КБК!E4:E887)-3,""),ROW()-O158+1)),"")</f>
        <v/>
      </c>
      <c r="B158" s="55" t="str">
        <f t="array" ref="B158:B159">IFERROR(INDEX(КБК!H4:H887,SMALL(IF((($D$158=КБК!F4:F887)*($C$158=КБК!G4:G887)*(NOT(ISERR(SEARCH($O$1,КБК!D4:D887))))),ROW(КБК!E4:E887)-3,""),ROW()-O158+1)),"")</f>
        <v/>
      </c>
      <c r="C158" s="56">
        <v>831</v>
      </c>
      <c r="D158" s="68">
        <v>296</v>
      </c>
      <c r="E158" s="157"/>
      <c r="F158" s="131">
        <f>I158+L158</f>
        <v>0</v>
      </c>
      <c r="G158" s="57">
        <f t="shared" ref="G158:H161" si="62">J158+M158</f>
        <v>0</v>
      </c>
      <c r="H158" s="132">
        <f t="shared" si="62"/>
        <v>0</v>
      </c>
      <c r="I158" s="70"/>
      <c r="J158" s="59"/>
      <c r="K158" s="59"/>
      <c r="L158" s="59"/>
      <c r="M158" s="59"/>
      <c r="N158" s="59"/>
      <c r="O158" s="39">
        <f>ROW()</f>
        <v>158</v>
      </c>
      <c r="P158" s="40"/>
      <c r="Q158" s="39"/>
    </row>
    <row r="159" spans="1:17" ht="12" customHeight="1" x14ac:dyDescent="0.3">
      <c r="A159" s="58" t="str">
        <v/>
      </c>
      <c r="B159" s="55" t="str">
        <v/>
      </c>
      <c r="C159" s="56">
        <v>831</v>
      </c>
      <c r="D159" s="68">
        <v>296</v>
      </c>
      <c r="E159" s="157"/>
      <c r="F159" s="131">
        <f>I159+L159</f>
        <v>0</v>
      </c>
      <c r="G159" s="57">
        <f t="shared" si="62"/>
        <v>0</v>
      </c>
      <c r="H159" s="132">
        <f t="shared" si="62"/>
        <v>0</v>
      </c>
      <c r="I159" s="70"/>
      <c r="J159" s="59"/>
      <c r="K159" s="59"/>
      <c r="L159" s="59"/>
      <c r="M159" s="59"/>
      <c r="N159" s="59"/>
      <c r="O159" s="39"/>
      <c r="P159" s="40"/>
      <c r="Q159" s="39"/>
    </row>
    <row r="160" spans="1:17" ht="12" customHeight="1" x14ac:dyDescent="0.3">
      <c r="A160" s="58" t="str">
        <f t="array" ref="A160:A161">IFERROR(INDEX(КБК!E4:E887,SMALL(IF((($D$160=КБК!F4:F887)*($C$160=КБК!G4:G887)*(NOT(ISERR(SEARCH($O$1,КБК!D4:D887))))),ROW(КБК!E4:E887)-3,""),ROW()-O160+1)),"")</f>
        <v/>
      </c>
      <c r="B160" s="55" t="str">
        <f t="array" ref="B160:B161">IFERROR(INDEX(КБК!H4:H887,SMALL(IF((($D$160=КБК!F4:F887)*($C$160=КБК!G4:G887)*(NOT(ISERR(SEARCH($O$1,КБК!D4:D887))))),ROW(КБК!E4:E887)-3,""),ROW()-O160+1)),"")</f>
        <v/>
      </c>
      <c r="C160" s="56">
        <v>831</v>
      </c>
      <c r="D160" s="68">
        <v>297</v>
      </c>
      <c r="E160" s="187"/>
      <c r="F160" s="131">
        <f>I160+L160</f>
        <v>0</v>
      </c>
      <c r="G160" s="57">
        <f t="shared" si="62"/>
        <v>0</v>
      </c>
      <c r="H160" s="132">
        <f t="shared" si="62"/>
        <v>0</v>
      </c>
      <c r="I160" s="70"/>
      <c r="J160" s="59"/>
      <c r="K160" s="59"/>
      <c r="L160" s="59"/>
      <c r="M160" s="59"/>
      <c r="N160" s="59"/>
      <c r="O160" s="39">
        <f>ROW()</f>
        <v>160</v>
      </c>
      <c r="P160" s="40"/>
      <c r="Q160" s="39"/>
    </row>
    <row r="161" spans="1:17" ht="12" customHeight="1" x14ac:dyDescent="0.3">
      <c r="A161" s="58" t="str">
        <v/>
      </c>
      <c r="B161" s="55" t="str">
        <v/>
      </c>
      <c r="C161" s="56">
        <v>831</v>
      </c>
      <c r="D161" s="68">
        <v>297</v>
      </c>
      <c r="E161" s="187"/>
      <c r="F161" s="131">
        <f>I161+L161</f>
        <v>0</v>
      </c>
      <c r="G161" s="57">
        <f t="shared" si="62"/>
        <v>0</v>
      </c>
      <c r="H161" s="132">
        <f t="shared" si="62"/>
        <v>0</v>
      </c>
      <c r="I161" s="70"/>
      <c r="J161" s="59"/>
      <c r="K161" s="59"/>
      <c r="L161" s="59"/>
      <c r="M161" s="59"/>
      <c r="N161" s="59"/>
      <c r="O161" s="39"/>
      <c r="P161" s="40"/>
      <c r="Q161" s="39"/>
    </row>
    <row r="162" spans="1:17" ht="12" customHeight="1" x14ac:dyDescent="0.3">
      <c r="A162" s="60" t="s">
        <v>720</v>
      </c>
      <c r="B162" s="55" t="s">
        <v>211</v>
      </c>
      <c r="C162" s="56" t="s">
        <v>211</v>
      </c>
      <c r="D162" s="68" t="s">
        <v>211</v>
      </c>
      <c r="E162" s="157">
        <v>2600</v>
      </c>
      <c r="F162" s="135">
        <f t="shared" ref="F162:N162" si="63">F163+F165+F175+F276+F282</f>
        <v>117617459.16</v>
      </c>
      <c r="G162" s="57">
        <f t="shared" si="63"/>
        <v>25140280</v>
      </c>
      <c r="H162" s="136">
        <f t="shared" si="63"/>
        <v>25140280</v>
      </c>
      <c r="I162" s="72">
        <f t="shared" si="63"/>
        <v>70216259.159999996</v>
      </c>
      <c r="J162" s="57">
        <f t="shared" si="63"/>
        <v>25140280</v>
      </c>
      <c r="K162" s="57">
        <f t="shared" si="63"/>
        <v>25140280</v>
      </c>
      <c r="L162" s="57">
        <f t="shared" si="63"/>
        <v>47401200</v>
      </c>
      <c r="M162" s="57">
        <f t="shared" si="63"/>
        <v>0</v>
      </c>
      <c r="N162" s="57">
        <f t="shared" si="63"/>
        <v>0</v>
      </c>
      <c r="O162" s="39"/>
      <c r="P162" s="40"/>
      <c r="Q162" s="39"/>
    </row>
    <row r="163" spans="1:17" ht="12" customHeight="1" x14ac:dyDescent="0.3">
      <c r="A163" s="60" t="s">
        <v>312</v>
      </c>
      <c r="B163" s="55" t="s">
        <v>211</v>
      </c>
      <c r="C163" s="56">
        <v>241</v>
      </c>
      <c r="D163" s="68" t="s">
        <v>211</v>
      </c>
      <c r="E163" s="157">
        <v>2610</v>
      </c>
      <c r="F163" s="131">
        <f>SUM(F164)</f>
        <v>0</v>
      </c>
      <c r="G163" s="109">
        <f>SUM(G164)</f>
        <v>0</v>
      </c>
      <c r="H163" s="132">
        <f>SUM(H164)</f>
        <v>0</v>
      </c>
      <c r="I163" s="69">
        <f t="shared" ref="I163:N163" si="64">SUM(I164)</f>
        <v>0</v>
      </c>
      <c r="J163" s="109">
        <f t="shared" si="64"/>
        <v>0</v>
      </c>
      <c r="K163" s="109">
        <f t="shared" si="64"/>
        <v>0</v>
      </c>
      <c r="L163" s="109">
        <f t="shared" si="64"/>
        <v>0</v>
      </c>
      <c r="M163" s="109">
        <f t="shared" si="64"/>
        <v>0</v>
      </c>
      <c r="N163" s="57">
        <f t="shared" si="64"/>
        <v>0</v>
      </c>
      <c r="O163" s="39"/>
      <c r="P163" s="40"/>
      <c r="Q163" s="39"/>
    </row>
    <row r="164" spans="1:17" ht="12" customHeight="1" x14ac:dyDescent="0.3">
      <c r="A164" s="60"/>
      <c r="B164" s="55"/>
      <c r="C164" s="56">
        <v>241</v>
      </c>
      <c r="D164" s="68"/>
      <c r="E164" s="157"/>
      <c r="F164" s="131">
        <f>I164+L164</f>
        <v>0</v>
      </c>
      <c r="G164" s="57">
        <f>J164+M164</f>
        <v>0</v>
      </c>
      <c r="H164" s="132">
        <f>K164+N164</f>
        <v>0</v>
      </c>
      <c r="I164" s="70"/>
      <c r="J164" s="59"/>
      <c r="K164" s="59"/>
      <c r="L164" s="59"/>
      <c r="M164" s="59"/>
      <c r="N164" s="59"/>
      <c r="O164" s="39"/>
      <c r="P164" s="40"/>
      <c r="Q164" s="39"/>
    </row>
    <row r="165" spans="1:17" ht="12" customHeight="1" x14ac:dyDescent="0.3">
      <c r="A165" s="60" t="s">
        <v>343</v>
      </c>
      <c r="B165" s="55" t="s">
        <v>211</v>
      </c>
      <c r="C165" s="56">
        <v>243</v>
      </c>
      <c r="D165" s="68" t="s">
        <v>211</v>
      </c>
      <c r="E165" s="157">
        <v>2630</v>
      </c>
      <c r="F165" s="135">
        <f>SUM(F166:F174)</f>
        <v>0</v>
      </c>
      <c r="G165" s="57">
        <f t="shared" ref="G165:N165" si="65">SUM(G166:G174)</f>
        <v>0</v>
      </c>
      <c r="H165" s="72">
        <f t="shared" si="65"/>
        <v>0</v>
      </c>
      <c r="I165" s="135">
        <f t="shared" si="65"/>
        <v>0</v>
      </c>
      <c r="J165" s="57">
        <f t="shared" si="65"/>
        <v>0</v>
      </c>
      <c r="K165" s="57">
        <f t="shared" si="65"/>
        <v>0</v>
      </c>
      <c r="L165" s="57">
        <f t="shared" si="65"/>
        <v>0</v>
      </c>
      <c r="M165" s="57">
        <f t="shared" si="65"/>
        <v>0</v>
      </c>
      <c r="N165" s="72">
        <f t="shared" si="65"/>
        <v>0</v>
      </c>
      <c r="O165" s="39"/>
      <c r="P165" s="40"/>
      <c r="Q165" s="39"/>
    </row>
    <row r="166" spans="1:17" ht="12" customHeight="1" x14ac:dyDescent="0.3">
      <c r="A166" s="65" t="str">
        <f t="array" ref="A166:A168">IFERROR(INDEX(КБК!E4:E887,SMALL(IF((($D$166=КБК!F4:F887)*($C$166=КБК!G4:G887)*(NOT(ISERR(SEARCH($O$1,КБК!D4:D887))))),ROW(КБК!E4:E887)-3,""),ROW()-$O$166+1)),"")</f>
        <v/>
      </c>
      <c r="B166" s="55" t="str">
        <f t="array" ref="B166:B168">IFERROR(INDEX(КБК!H4:H887,SMALL(IF((($D$166=КБК!F4:F887)*($C$166=КБК!G4:G887)*(NOT(ISERR(SEARCH($O$1,КБК!D4:D887))))),ROW(КБК!E4:E887)-3,""),ROW()-$O$166+1)),"")</f>
        <v/>
      </c>
      <c r="C166" s="56">
        <v>243</v>
      </c>
      <c r="D166" s="68">
        <v>225</v>
      </c>
      <c r="E166" s="187"/>
      <c r="F166" s="131">
        <f t="shared" ref="F166:H168" si="66">I166+L166</f>
        <v>0</v>
      </c>
      <c r="G166" s="57">
        <f t="shared" si="66"/>
        <v>0</v>
      </c>
      <c r="H166" s="132">
        <f t="shared" si="66"/>
        <v>0</v>
      </c>
      <c r="I166" s="70"/>
      <c r="J166" s="59"/>
      <c r="K166" s="59"/>
      <c r="L166" s="59"/>
      <c r="M166" s="59"/>
      <c r="N166" s="59"/>
      <c r="O166" s="39">
        <f>ROW()</f>
        <v>166</v>
      </c>
      <c r="P166" s="40"/>
      <c r="Q166" s="39"/>
    </row>
    <row r="167" spans="1:17" ht="12" customHeight="1" x14ac:dyDescent="0.3">
      <c r="A167" s="65" t="str">
        <v/>
      </c>
      <c r="B167" s="55" t="str">
        <v/>
      </c>
      <c r="C167" s="56">
        <v>243</v>
      </c>
      <c r="D167" s="68">
        <v>225</v>
      </c>
      <c r="E167" s="187"/>
      <c r="F167" s="131">
        <f t="shared" si="66"/>
        <v>0</v>
      </c>
      <c r="G167" s="57">
        <f t="shared" si="66"/>
        <v>0</v>
      </c>
      <c r="H167" s="132">
        <f t="shared" si="66"/>
        <v>0</v>
      </c>
      <c r="I167" s="70"/>
      <c r="J167" s="59"/>
      <c r="K167" s="59"/>
      <c r="L167" s="59"/>
      <c r="M167" s="59"/>
      <c r="N167" s="59"/>
      <c r="O167" s="39"/>
      <c r="P167" s="40"/>
      <c r="Q167" s="39"/>
    </row>
    <row r="168" spans="1:17" ht="12" customHeight="1" x14ac:dyDescent="0.3">
      <c r="A168" s="65" t="str">
        <v/>
      </c>
      <c r="B168" s="55" t="str">
        <v/>
      </c>
      <c r="C168" s="56">
        <v>243</v>
      </c>
      <c r="D168" s="68">
        <v>225</v>
      </c>
      <c r="E168" s="187"/>
      <c r="F168" s="131">
        <f t="shared" si="66"/>
        <v>0</v>
      </c>
      <c r="G168" s="57">
        <f t="shared" si="66"/>
        <v>0</v>
      </c>
      <c r="H168" s="132">
        <f t="shared" si="66"/>
        <v>0</v>
      </c>
      <c r="I168" s="70"/>
      <c r="J168" s="59"/>
      <c r="K168" s="59"/>
      <c r="L168" s="59"/>
      <c r="M168" s="59"/>
      <c r="N168" s="59"/>
      <c r="O168" s="39"/>
      <c r="P168" s="40"/>
      <c r="Q168" s="39"/>
    </row>
    <row r="169" spans="1:17" ht="12" customHeight="1" x14ac:dyDescent="0.3">
      <c r="A169" s="58" t="str">
        <f t="array" ref="A169:A170">IFERROR(INDEX(КБК!E4:E887,SMALL(IF((($D$169=КБК!F4:F887)*($C$169=КБК!G4:G887)*(NOT(ISERR(SEARCH($O$1,КБК!D4:D887))))),ROW(КБК!E4:E887)-3,""),ROW()-$O$169+1)),"")</f>
        <v/>
      </c>
      <c r="B169" s="55" t="str">
        <f t="array" ref="B169:B170">IFERROR(INDEX(КБК!H4:H887,SMALL(IF((($D$169=КБК!F4:F887)*($C$169=КБК!G4:G887)*(NOT(ISERR(SEARCH($O$1,КБК!D4:D887))))),ROW(КБК!E4:E887)-3,""),ROW()-$O$169+1)),"")</f>
        <v/>
      </c>
      <c r="C169" s="56">
        <v>243</v>
      </c>
      <c r="D169" s="68">
        <v>226</v>
      </c>
      <c r="E169" s="157"/>
      <c r="F169" s="131">
        <f t="shared" ref="F169:H170" si="67">I169+L169</f>
        <v>0</v>
      </c>
      <c r="G169" s="57">
        <f t="shared" si="67"/>
        <v>0</v>
      </c>
      <c r="H169" s="132">
        <f t="shared" si="67"/>
        <v>0</v>
      </c>
      <c r="I169" s="71"/>
      <c r="J169" s="59"/>
      <c r="K169" s="59"/>
      <c r="L169" s="59"/>
      <c r="M169" s="59"/>
      <c r="N169" s="59"/>
      <c r="O169" s="39">
        <f>ROW()</f>
        <v>169</v>
      </c>
      <c r="P169" s="40"/>
      <c r="Q169" s="39"/>
    </row>
    <row r="170" spans="1:17" ht="12" customHeight="1" x14ac:dyDescent="0.3">
      <c r="A170" s="58" t="str">
        <v/>
      </c>
      <c r="B170" s="55" t="str">
        <v/>
      </c>
      <c r="C170" s="56">
        <v>243</v>
      </c>
      <c r="D170" s="68">
        <v>226</v>
      </c>
      <c r="E170" s="157"/>
      <c r="F170" s="131">
        <f t="shared" si="67"/>
        <v>0</v>
      </c>
      <c r="G170" s="57">
        <f t="shared" si="67"/>
        <v>0</v>
      </c>
      <c r="H170" s="132">
        <f t="shared" si="67"/>
        <v>0</v>
      </c>
      <c r="I170" s="70"/>
      <c r="J170" s="59"/>
      <c r="K170" s="59"/>
      <c r="L170" s="59"/>
      <c r="M170" s="59"/>
      <c r="N170" s="59"/>
      <c r="O170" s="39"/>
      <c r="P170" s="40"/>
      <c r="Q170" s="39"/>
    </row>
    <row r="171" spans="1:17" ht="12" customHeight="1" x14ac:dyDescent="0.3">
      <c r="A171" s="58" t="str">
        <f t="array" ref="A171:A172">IFERROR(INDEX(КБК!E4:E887,SMALL(IF((($D$171=КБК!F4:F887)*($C$171=КБК!G4:G887)*(NOT(ISERR(SEARCH($O$1,КБК!D4:D887))))),ROW(КБК!E4:E887)-3,""),ROW()-$O$171+1)),"")</f>
        <v/>
      </c>
      <c r="B171" s="55" t="str">
        <f t="array" ref="B171:B172">IFERROR(INDEX(КБК!H4:H887,SMALL(IF((($D$171=КБК!F4:F887)*($C$171=КБК!G4:G887)*(NOT(ISERR(SEARCH($O$1,КБК!D4:D887))))),ROW(КБК!E4:E887)-3,""),ROW()-$O$171+1)),"")</f>
        <v/>
      </c>
      <c r="C171" s="56">
        <v>243</v>
      </c>
      <c r="D171" s="68">
        <v>228</v>
      </c>
      <c r="E171" s="187"/>
      <c r="F171" s="135">
        <f t="shared" ref="F171:H172" si="68">I171+L171</f>
        <v>0</v>
      </c>
      <c r="G171" s="57">
        <f t="shared" si="68"/>
        <v>0</v>
      </c>
      <c r="H171" s="132">
        <f t="shared" si="68"/>
        <v>0</v>
      </c>
      <c r="I171" s="71"/>
      <c r="J171" s="59"/>
      <c r="K171" s="59"/>
      <c r="L171" s="59"/>
      <c r="M171" s="59"/>
      <c r="N171" s="59"/>
      <c r="O171" s="39">
        <f>ROW()</f>
        <v>171</v>
      </c>
      <c r="P171" s="40"/>
      <c r="Q171" s="39"/>
    </row>
    <row r="172" spans="1:17" ht="12" customHeight="1" x14ac:dyDescent="0.3">
      <c r="A172" s="58" t="str">
        <v/>
      </c>
      <c r="B172" s="55" t="str">
        <v/>
      </c>
      <c r="C172" s="56">
        <v>243</v>
      </c>
      <c r="D172" s="68">
        <v>228</v>
      </c>
      <c r="E172" s="187"/>
      <c r="F172" s="135">
        <f t="shared" si="68"/>
        <v>0</v>
      </c>
      <c r="G172" s="57">
        <f t="shared" si="68"/>
        <v>0</v>
      </c>
      <c r="H172" s="132">
        <f t="shared" si="68"/>
        <v>0</v>
      </c>
      <c r="I172" s="71"/>
      <c r="J172" s="59"/>
      <c r="K172" s="59"/>
      <c r="L172" s="59"/>
      <c r="M172" s="59"/>
      <c r="N172" s="59"/>
      <c r="O172" s="39"/>
      <c r="P172" s="40"/>
      <c r="Q172" s="39"/>
    </row>
    <row r="173" spans="1:17" ht="12" customHeight="1" x14ac:dyDescent="0.3">
      <c r="A173" s="58" t="str">
        <f t="array" ref="A173:A174">IFERROR(INDEX(КБК!E4:E887,SMALL(IF((($D$173=КБК!F4:F887)*($C$173=КБК!G4:G887)*(NOT(ISERR(SEARCH($O$1,КБК!D4:D887))))),ROW(КБК!E4:E887)-3,""),ROW()-$O$173+1)),"")</f>
        <v/>
      </c>
      <c r="B173" s="55" t="str">
        <f t="array" ref="B173:B174">IFERROR(INDEX(КБК!H4:H887,SMALL(IF((($D$173=КБК!F4:F887)*($C$173=КБК!G4:G887)*(NOT(ISERR(SEARCH($O$1,КБК!D4:D887))))),ROW(КБК!E4:E887)-3,""),ROW()-$O$173+1)),"")</f>
        <v/>
      </c>
      <c r="C173" s="56">
        <v>243</v>
      </c>
      <c r="D173" s="68">
        <v>310</v>
      </c>
      <c r="E173" s="157"/>
      <c r="F173" s="135">
        <f t="shared" ref="F173:H174" si="69">I173+L173</f>
        <v>0</v>
      </c>
      <c r="G173" s="57">
        <f t="shared" si="69"/>
        <v>0</v>
      </c>
      <c r="H173" s="136">
        <f t="shared" si="69"/>
        <v>0</v>
      </c>
      <c r="I173" s="71"/>
      <c r="J173" s="59"/>
      <c r="K173" s="71"/>
      <c r="L173" s="59"/>
      <c r="M173" s="59"/>
      <c r="N173" s="59"/>
      <c r="O173" s="39">
        <f>ROW()</f>
        <v>173</v>
      </c>
      <c r="P173" s="40"/>
      <c r="Q173" s="39"/>
    </row>
    <row r="174" spans="1:17" ht="12" customHeight="1" x14ac:dyDescent="0.3">
      <c r="A174" s="58" t="str">
        <v/>
      </c>
      <c r="B174" s="55" t="str">
        <v/>
      </c>
      <c r="C174" s="56">
        <v>243</v>
      </c>
      <c r="D174" s="68">
        <v>310</v>
      </c>
      <c r="E174" s="157"/>
      <c r="F174" s="135">
        <f t="shared" si="69"/>
        <v>0</v>
      </c>
      <c r="G174" s="57">
        <f t="shared" si="69"/>
        <v>0</v>
      </c>
      <c r="H174" s="132">
        <f t="shared" si="69"/>
        <v>0</v>
      </c>
      <c r="I174" s="71"/>
      <c r="J174" s="59"/>
      <c r="K174" s="71"/>
      <c r="L174" s="59"/>
      <c r="M174" s="59"/>
      <c r="N174" s="59"/>
      <c r="O174" s="39"/>
      <c r="P174" s="40"/>
      <c r="Q174" s="39"/>
    </row>
    <row r="175" spans="1:17" ht="12" customHeight="1" x14ac:dyDescent="0.3">
      <c r="A175" s="60" t="s">
        <v>313</v>
      </c>
      <c r="B175" s="55" t="s">
        <v>211</v>
      </c>
      <c r="C175" s="56">
        <v>244</v>
      </c>
      <c r="D175" s="68" t="s">
        <v>211</v>
      </c>
      <c r="E175" s="157">
        <v>2640</v>
      </c>
      <c r="F175" s="57">
        <f t="shared" ref="F175:N175" si="70">SUM(F176:F275)</f>
        <v>105848869.16</v>
      </c>
      <c r="G175" s="57">
        <f t="shared" si="70"/>
        <v>13371690</v>
      </c>
      <c r="H175" s="132">
        <f t="shared" si="70"/>
        <v>13371690</v>
      </c>
      <c r="I175" s="69">
        <f t="shared" si="70"/>
        <v>58447669.159999996</v>
      </c>
      <c r="J175" s="57">
        <f t="shared" si="70"/>
        <v>13371690</v>
      </c>
      <c r="K175" s="57">
        <f t="shared" si="70"/>
        <v>13371690</v>
      </c>
      <c r="L175" s="57">
        <f t="shared" si="70"/>
        <v>47401200</v>
      </c>
      <c r="M175" s="57">
        <f t="shared" si="70"/>
        <v>0</v>
      </c>
      <c r="N175" s="57">
        <f t="shared" si="70"/>
        <v>0</v>
      </c>
      <c r="O175" s="39"/>
      <c r="P175" s="40"/>
      <c r="Q175" s="39"/>
    </row>
    <row r="176" spans="1:17" ht="12" customHeight="1" x14ac:dyDescent="0.3">
      <c r="A176" s="58" t="str">
        <f t="array" ref="A176:A178">IFERROR(INDEX(КБК!E4:E887,SMALL(IF((($D$176=КБК!F4:F887)*($C$176=КБК!G4:G887)*(NOT(ISERR(SEARCH($O$1,КБК!D4:D887))))),ROW(КБК!E4:E887)-3,""),ROW()-$O$176+1)),"")</f>
        <v>доходы 0000000131.244.0</v>
      </c>
      <c r="B176" s="55" t="str">
        <f t="array" ref="B176:B178">IFERROR(INDEX(КБК!H4:H887,SMALL(IF((($D$176=КБК!F4:F887)*($C$176=КБК!G4:G887)*(NOT(ISERR(SEARCH($O$1,КБК!D4:D887))))),ROW(КБК!E4:E887)-3,""),ROW()-$O$176+1)),"")</f>
        <v>1102</v>
      </c>
      <c r="C176" s="56">
        <v>244</v>
      </c>
      <c r="D176" s="68">
        <v>221</v>
      </c>
      <c r="E176" s="187"/>
      <c r="F176" s="131">
        <f t="shared" ref="F176:H178" si="71">I176+L176</f>
        <v>8000</v>
      </c>
      <c r="G176" s="57">
        <f t="shared" si="71"/>
        <v>8000</v>
      </c>
      <c r="H176" s="132">
        <f t="shared" si="71"/>
        <v>8000</v>
      </c>
      <c r="I176" s="70">
        <v>8000</v>
      </c>
      <c r="J176" s="59">
        <v>8000</v>
      </c>
      <c r="K176" s="59">
        <v>8000</v>
      </c>
      <c r="L176" s="59"/>
      <c r="M176" s="59"/>
      <c r="N176" s="59"/>
      <c r="O176" s="39">
        <f>ROW()</f>
        <v>176</v>
      </c>
      <c r="P176" s="40"/>
      <c r="Q176" s="39"/>
    </row>
    <row r="177" spans="1:17" ht="12" customHeight="1" x14ac:dyDescent="0.3">
      <c r="A177" s="58" t="str">
        <v>спорт 1130387590.244.0</v>
      </c>
      <c r="B177" s="55" t="str">
        <v>1102</v>
      </c>
      <c r="C177" s="56">
        <v>244</v>
      </c>
      <c r="D177" s="68">
        <v>221</v>
      </c>
      <c r="E177" s="187"/>
      <c r="F177" s="131">
        <f t="shared" si="71"/>
        <v>76500</v>
      </c>
      <c r="G177" s="57">
        <f t="shared" si="71"/>
        <v>76500</v>
      </c>
      <c r="H177" s="132">
        <f t="shared" si="71"/>
        <v>76500</v>
      </c>
      <c r="I177" s="70">
        <v>76500</v>
      </c>
      <c r="J177" s="59">
        <v>76500</v>
      </c>
      <c r="K177" s="59">
        <v>76500</v>
      </c>
      <c r="L177" s="59"/>
      <c r="M177" s="59"/>
      <c r="N177" s="59"/>
      <c r="O177" s="39"/>
      <c r="P177" s="40"/>
      <c r="Q177" s="39"/>
    </row>
    <row r="178" spans="1:17" ht="12" customHeight="1" x14ac:dyDescent="0.3">
      <c r="A178" s="58" t="str">
        <v/>
      </c>
      <c r="B178" s="55" t="str">
        <v/>
      </c>
      <c r="C178" s="56">
        <v>244</v>
      </c>
      <c r="D178" s="68">
        <v>221</v>
      </c>
      <c r="E178" s="187"/>
      <c r="F178" s="131">
        <f t="shared" si="71"/>
        <v>0</v>
      </c>
      <c r="G178" s="57">
        <f t="shared" si="71"/>
        <v>0</v>
      </c>
      <c r="H178" s="132">
        <f t="shared" si="71"/>
        <v>0</v>
      </c>
      <c r="I178" s="70"/>
      <c r="J178" s="59"/>
      <c r="K178" s="59"/>
      <c r="L178" s="59"/>
      <c r="M178" s="59"/>
      <c r="N178" s="59"/>
      <c r="O178" s="39"/>
      <c r="P178" s="40"/>
      <c r="Q178" s="39"/>
    </row>
    <row r="179" spans="1:17" ht="12" customHeight="1" x14ac:dyDescent="0.3">
      <c r="A179" s="58" t="str">
        <f t="array" ref="A179:A184">IFERROR(INDEX(КБК!E4:E887,SMALL(IF((($D$179=КБК!F4:F887)*($C$179=КБК!G4:G887)*(NOT(ISERR(SEARCH($O$1,КБК!D4:D887))))),ROW(КБК!E4:E887)-3,""),ROW()-$O$179+1)),"")</f>
        <v>доходы 0000000131.244.0</v>
      </c>
      <c r="B179" s="55" t="str">
        <f t="array" ref="B179:B184">IFERROR(INDEX(КБК!H4:H887,SMALL(IF((($D$179=КБК!F4:F887)*($C$179=КБК!G4:G887)*(NOT(ISERR(SEARCH($O$1,КБК!D4:D887))))),ROW(КБК!E4:E887)-3,""),ROW()-$O$179+1)),"")</f>
        <v>1102</v>
      </c>
      <c r="C179" s="56">
        <v>244</v>
      </c>
      <c r="D179" s="68">
        <v>222</v>
      </c>
      <c r="E179" s="157"/>
      <c r="F179" s="131">
        <f t="shared" ref="F179:H186" si="72">I179+L179</f>
        <v>3000</v>
      </c>
      <c r="G179" s="57">
        <f t="shared" si="72"/>
        <v>3000</v>
      </c>
      <c r="H179" s="132">
        <f t="shared" si="72"/>
        <v>3000</v>
      </c>
      <c r="I179" s="70">
        <v>3000</v>
      </c>
      <c r="J179" s="59">
        <v>3000</v>
      </c>
      <c r="K179" s="59">
        <v>3000</v>
      </c>
      <c r="L179" s="59"/>
      <c r="M179" s="59"/>
      <c r="N179" s="59"/>
      <c r="O179" s="39">
        <f>ROW()</f>
        <v>179</v>
      </c>
      <c r="P179" s="40"/>
      <c r="Q179" s="39"/>
    </row>
    <row r="180" spans="1:17" ht="12" customHeight="1" x14ac:dyDescent="0.3">
      <c r="A180" s="58" t="str">
        <v>спорт 1130387590.244.0</v>
      </c>
      <c r="B180" s="55" t="str">
        <v>1102</v>
      </c>
      <c r="C180" s="56">
        <v>244</v>
      </c>
      <c r="D180" s="68">
        <v>222</v>
      </c>
      <c r="E180" s="157"/>
      <c r="F180" s="131">
        <f t="shared" si="72"/>
        <v>16200</v>
      </c>
      <c r="G180" s="57">
        <f t="shared" si="72"/>
        <v>16200</v>
      </c>
      <c r="H180" s="132">
        <f t="shared" si="72"/>
        <v>16200</v>
      </c>
      <c r="I180" s="70">
        <v>16200</v>
      </c>
      <c r="J180" s="59">
        <v>16200</v>
      </c>
      <c r="K180" s="59">
        <v>16200</v>
      </c>
      <c r="L180" s="59"/>
      <c r="M180" s="59"/>
      <c r="N180" s="59"/>
      <c r="O180" s="39"/>
      <c r="P180" s="40"/>
      <c r="Q180" s="39"/>
    </row>
    <row r="181" spans="1:17" ht="12" customHeight="1" x14ac:dyDescent="0.3">
      <c r="A181" s="58" t="str">
        <v/>
      </c>
      <c r="B181" s="55" t="str">
        <v/>
      </c>
      <c r="C181" s="56">
        <v>244</v>
      </c>
      <c r="D181" s="68">
        <v>222</v>
      </c>
      <c r="E181" s="157"/>
      <c r="F181" s="131">
        <f t="shared" si="72"/>
        <v>0</v>
      </c>
      <c r="G181" s="57">
        <f t="shared" si="72"/>
        <v>0</v>
      </c>
      <c r="H181" s="132">
        <f t="shared" si="72"/>
        <v>0</v>
      </c>
      <c r="I181" s="70"/>
      <c r="J181" s="59"/>
      <c r="K181" s="59"/>
      <c r="L181" s="59"/>
      <c r="M181" s="59"/>
      <c r="N181" s="59"/>
      <c r="O181" s="39"/>
      <c r="P181" s="40"/>
      <c r="Q181" s="39"/>
    </row>
    <row r="182" spans="1:17" ht="12" customHeight="1" x14ac:dyDescent="0.3">
      <c r="A182" s="58" t="str">
        <v/>
      </c>
      <c r="B182" s="55" t="str">
        <v/>
      </c>
      <c r="C182" s="56">
        <v>244</v>
      </c>
      <c r="D182" s="68">
        <v>222</v>
      </c>
      <c r="E182" s="157"/>
      <c r="F182" s="131">
        <f t="shared" si="72"/>
        <v>0</v>
      </c>
      <c r="G182" s="57">
        <f t="shared" si="72"/>
        <v>0</v>
      </c>
      <c r="H182" s="132">
        <f t="shared" si="72"/>
        <v>0</v>
      </c>
      <c r="I182" s="70"/>
      <c r="J182" s="59"/>
      <c r="K182" s="59"/>
      <c r="L182" s="59"/>
      <c r="M182" s="59"/>
      <c r="N182" s="59"/>
      <c r="O182" s="39"/>
      <c r="P182" s="40"/>
      <c r="Q182" s="39"/>
    </row>
    <row r="183" spans="1:17" ht="12" customHeight="1" x14ac:dyDescent="0.3">
      <c r="A183" s="58" t="str">
        <v/>
      </c>
      <c r="B183" s="55" t="str">
        <v/>
      </c>
      <c r="C183" s="56">
        <v>244</v>
      </c>
      <c r="D183" s="68">
        <v>222</v>
      </c>
      <c r="E183" s="157"/>
      <c r="F183" s="131">
        <f t="shared" si="72"/>
        <v>0</v>
      </c>
      <c r="G183" s="57">
        <f t="shared" si="72"/>
        <v>0</v>
      </c>
      <c r="H183" s="132">
        <f t="shared" si="72"/>
        <v>0</v>
      </c>
      <c r="I183" s="70"/>
      <c r="J183" s="59"/>
      <c r="K183" s="59"/>
      <c r="L183" s="59"/>
      <c r="M183" s="59"/>
      <c r="N183" s="59"/>
      <c r="O183" s="39"/>
      <c r="P183" s="40"/>
      <c r="Q183" s="39"/>
    </row>
    <row r="184" spans="1:17" ht="12" customHeight="1" x14ac:dyDescent="0.3">
      <c r="A184" s="58" t="str">
        <v/>
      </c>
      <c r="B184" s="55" t="str">
        <v/>
      </c>
      <c r="C184" s="56">
        <v>244</v>
      </c>
      <c r="D184" s="68">
        <v>222</v>
      </c>
      <c r="E184" s="157"/>
      <c r="F184" s="131">
        <f t="shared" si="72"/>
        <v>0</v>
      </c>
      <c r="G184" s="57">
        <f t="shared" si="72"/>
        <v>0</v>
      </c>
      <c r="H184" s="132">
        <f t="shared" si="72"/>
        <v>0</v>
      </c>
      <c r="I184" s="70"/>
      <c r="J184" s="59"/>
      <c r="K184" s="59"/>
      <c r="L184" s="59"/>
      <c r="M184" s="59"/>
      <c r="N184" s="59"/>
      <c r="O184" s="39"/>
      <c r="P184" s="40"/>
      <c r="Q184" s="39"/>
    </row>
    <row r="185" spans="1:17" ht="12" customHeight="1" x14ac:dyDescent="0.3">
      <c r="A185" s="58" t="str">
        <f t="array" ref="A185:A186">IFERROR(INDEX(КБК!E4:E887,SMALL(IF(((2232=КБК!F4:F887)*($C$185=КБК!G4:G887)*(NOT(ISERR(SEARCH($O$1,КБК!D4:D887))))),ROW(КБК!E4:E887)-3,""),ROW()-$O$185+1)),"")</f>
        <v>доходы 0000000131.244.Т</v>
      </c>
      <c r="B185" s="55" t="str">
        <f t="array" ref="B185:B186">IFERROR(INDEX(КБК!H4:H887,SMALL(IF(((2232=КБК!F4:F887)*($C$185=КБК!G4:G887)*(NOT(ISERR(SEARCH($O$1,КБК!D4:D887))))),ROW(КБК!E4:E887)-3,""),ROW()-$O$185+1)),"")</f>
        <v>1102</v>
      </c>
      <c r="C185" s="56">
        <v>244</v>
      </c>
      <c r="D185" s="68">
        <v>223</v>
      </c>
      <c r="E185" s="187"/>
      <c r="F185" s="131">
        <f t="shared" si="72"/>
        <v>0</v>
      </c>
      <c r="G185" s="57">
        <f t="shared" si="72"/>
        <v>0</v>
      </c>
      <c r="H185" s="132">
        <f t="shared" si="72"/>
        <v>0</v>
      </c>
      <c r="I185" s="70"/>
      <c r="J185" s="59"/>
      <c r="K185" s="59"/>
      <c r="L185" s="59"/>
      <c r="M185" s="59"/>
      <c r="N185" s="59"/>
      <c r="O185" s="39">
        <f>ROW()</f>
        <v>185</v>
      </c>
      <c r="P185" s="40"/>
      <c r="Q185" s="39"/>
    </row>
    <row r="186" spans="1:17" ht="12" customHeight="1" x14ac:dyDescent="0.3">
      <c r="A186" s="58" t="str">
        <v>спорт 1130387590.244.Т</v>
      </c>
      <c r="B186" s="55" t="str">
        <v>1102</v>
      </c>
      <c r="C186" s="56">
        <v>244</v>
      </c>
      <c r="D186" s="68">
        <v>223</v>
      </c>
      <c r="E186" s="187"/>
      <c r="F186" s="131">
        <f t="shared" si="72"/>
        <v>7859340</v>
      </c>
      <c r="G186" s="57">
        <f t="shared" si="72"/>
        <v>7859340</v>
      </c>
      <c r="H186" s="132">
        <f t="shared" si="72"/>
        <v>7859340</v>
      </c>
      <c r="I186" s="70">
        <v>7859340</v>
      </c>
      <c r="J186" s="59">
        <v>7859340</v>
      </c>
      <c r="K186" s="59">
        <v>7859340</v>
      </c>
      <c r="L186" s="59"/>
      <c r="M186" s="59"/>
      <c r="N186" s="59"/>
      <c r="O186" s="39"/>
      <c r="P186" s="40"/>
      <c r="Q186" s="39"/>
    </row>
    <row r="187" spans="1:17" ht="12" customHeight="1" x14ac:dyDescent="0.3">
      <c r="A187" s="58" t="str">
        <f t="array" ref="A187:A189">IFERROR(INDEX(КБК!E4:E887,SMALL(IF(((2233=КБК!F4:F887)*($C$187=КБК!G4:G887)*(NOT(ISERR(SEARCH($O$1,КБК!D4:D887))))),ROW(КБК!E4:E887)-3,""),ROW()-$O$187+1)),"")</f>
        <v>доходы 0000000131.244.В</v>
      </c>
      <c r="B187" s="55" t="str">
        <f t="array" ref="B187:B189">IFERROR(INDEX(КБК!H4:H887,SMALL(IF(((2233=КБК!F4:F887)*($C$187=КБК!G4:G887)*(NOT(ISERR(SEARCH($O$1,КБК!D4:D887))))),ROW(КБК!E4:E887)-3,""),ROW()-$O$187+1)),"")</f>
        <v>1102</v>
      </c>
      <c r="C187" s="56">
        <v>244</v>
      </c>
      <c r="D187" s="68">
        <v>223</v>
      </c>
      <c r="E187" s="157"/>
      <c r="F187" s="131">
        <f>I187+L187</f>
        <v>784340</v>
      </c>
      <c r="G187" s="57">
        <f t="shared" ref="G187:H189" si="73">J187+M187</f>
        <v>784200</v>
      </c>
      <c r="H187" s="132">
        <f t="shared" si="73"/>
        <v>784200</v>
      </c>
      <c r="I187" s="70">
        <v>784340</v>
      </c>
      <c r="J187" s="59">
        <v>784200</v>
      </c>
      <c r="K187" s="59">
        <v>784200</v>
      </c>
      <c r="L187" s="59"/>
      <c r="M187" s="59"/>
      <c r="N187" s="59"/>
      <c r="O187" s="39">
        <f>ROW()</f>
        <v>187</v>
      </c>
      <c r="P187" s="40"/>
      <c r="Q187" s="39"/>
    </row>
    <row r="188" spans="1:17" ht="12" customHeight="1" x14ac:dyDescent="0.3">
      <c r="A188" s="58" t="str">
        <v>спорт 1130387590.244.В</v>
      </c>
      <c r="B188" s="55" t="str">
        <v>1102</v>
      </c>
      <c r="C188" s="56">
        <v>244</v>
      </c>
      <c r="D188" s="68">
        <v>223</v>
      </c>
      <c r="E188" s="157"/>
      <c r="F188" s="131">
        <f>I188+L188</f>
        <v>94860</v>
      </c>
      <c r="G188" s="57">
        <f t="shared" si="73"/>
        <v>94860</v>
      </c>
      <c r="H188" s="132">
        <f t="shared" si="73"/>
        <v>94860</v>
      </c>
      <c r="I188" s="70">
        <v>94860</v>
      </c>
      <c r="J188" s="59">
        <v>94860</v>
      </c>
      <c r="K188" s="59">
        <v>94860</v>
      </c>
      <c r="L188" s="59"/>
      <c r="M188" s="59"/>
      <c r="N188" s="59"/>
      <c r="O188" s="39"/>
      <c r="P188" s="40"/>
      <c r="Q188" s="39"/>
    </row>
    <row r="189" spans="1:17" ht="12" customHeight="1" x14ac:dyDescent="0.3">
      <c r="A189" s="58" t="str">
        <v/>
      </c>
      <c r="B189" s="55" t="str">
        <v/>
      </c>
      <c r="C189" s="56">
        <v>244</v>
      </c>
      <c r="D189" s="68">
        <v>223</v>
      </c>
      <c r="E189" s="157"/>
      <c r="F189" s="131">
        <f>I189+L189</f>
        <v>0</v>
      </c>
      <c r="G189" s="57">
        <f t="shared" si="73"/>
        <v>0</v>
      </c>
      <c r="H189" s="132">
        <f t="shared" si="73"/>
        <v>0</v>
      </c>
      <c r="I189" s="70"/>
      <c r="J189" s="59"/>
      <c r="K189" s="59"/>
      <c r="L189" s="59"/>
      <c r="M189" s="59"/>
      <c r="N189" s="59"/>
      <c r="O189" s="39"/>
      <c r="P189" s="40"/>
      <c r="Q189" s="39"/>
    </row>
    <row r="190" spans="1:17" ht="12" customHeight="1" x14ac:dyDescent="0.3">
      <c r="A190" s="58" t="str">
        <f t="array" ref="A190:A191">IFERROR(INDEX(КБК!E4:E887,SMALL(IF(((2234=КБК!F4:F887)*($C$190=КБК!G4:G887)*(NOT(ISERR(SEARCH($O$1,КБК!D4:D887))))),ROW(КБК!E4:E887)-3,""),ROW()-$O$190+1)),"")</f>
        <v>спорт 1130387590.244.М</v>
      </c>
      <c r="B190" s="55" t="str">
        <f t="array" ref="B190:B191">IFERROR(INDEX(КБК!H4:H887,SMALL(IF(((2234=КБК!F4:F887)*($C$190=КБК!G4:G887)*(NOT(ISERR(SEARCH($O$1,КБК!D4:D887))))),ROW(КБК!E4:E887)-3,""),ROW()-$O$190+1)),"")</f>
        <v>1102</v>
      </c>
      <c r="C190" s="56">
        <v>244</v>
      </c>
      <c r="D190" s="68">
        <v>223</v>
      </c>
      <c r="E190" s="187"/>
      <c r="F190" s="131">
        <f t="shared" ref="F190:H191" si="74">I190+L190</f>
        <v>70650</v>
      </c>
      <c r="G190" s="57">
        <f t="shared" si="74"/>
        <v>70650</v>
      </c>
      <c r="H190" s="132">
        <f t="shared" si="74"/>
        <v>70650</v>
      </c>
      <c r="I190" s="70">
        <v>70650</v>
      </c>
      <c r="J190" s="59">
        <v>70650</v>
      </c>
      <c r="K190" s="59">
        <v>70650</v>
      </c>
      <c r="L190" s="59"/>
      <c r="M190" s="59"/>
      <c r="N190" s="59"/>
      <c r="O190" s="39">
        <f>ROW()</f>
        <v>190</v>
      </c>
      <c r="P190" s="40"/>
      <c r="Q190" s="39"/>
    </row>
    <row r="191" spans="1:17" ht="12" customHeight="1" x14ac:dyDescent="0.3">
      <c r="A191" s="58" t="str">
        <v/>
      </c>
      <c r="B191" s="55" t="str">
        <v/>
      </c>
      <c r="C191" s="56">
        <v>244</v>
      </c>
      <c r="D191" s="68">
        <v>223</v>
      </c>
      <c r="E191" s="187"/>
      <c r="F191" s="131">
        <f t="shared" si="74"/>
        <v>0</v>
      </c>
      <c r="G191" s="57">
        <f t="shared" si="74"/>
        <v>0</v>
      </c>
      <c r="H191" s="132">
        <f t="shared" si="74"/>
        <v>0</v>
      </c>
      <c r="I191" s="70"/>
      <c r="J191" s="59"/>
      <c r="K191" s="59"/>
      <c r="L191" s="59"/>
      <c r="M191" s="59"/>
      <c r="N191" s="59"/>
      <c r="O191" s="39"/>
      <c r="P191" s="40"/>
      <c r="Q191" s="39"/>
    </row>
    <row r="192" spans="1:17" ht="12" customHeight="1" x14ac:dyDescent="0.3">
      <c r="A192" s="58" t="str">
        <f t="array" ref="A192:A193">IFERROR(INDEX(КБК!E4:E887,SMALL(IF((($D$192=КБК!F4:F887)*($C$192=КБК!G4:G887)*(NOT(ISERR(SEARCH($O$1,КБК!D4:D887))))),ROW(КБК!E4:E887)-3,""),ROW()-$O$192+1)),"")</f>
        <v>доходы 0000000131.244.0</v>
      </c>
      <c r="B192" s="55" t="str">
        <f t="array" ref="B192:B193">IFERROR(INDEX(КБК!H4:H887,SMALL(IF((($D$192=КБК!F4:F887)*($C$192=КБК!G4:G887)*(NOT(ISERR(SEARCH($O$1,КБК!D4:D887))))),ROW(КБК!E4:E887)-3,""),ROW()-$O$192+1)),"")</f>
        <v>1102</v>
      </c>
      <c r="C192" s="56">
        <v>244</v>
      </c>
      <c r="D192" s="68">
        <v>224</v>
      </c>
      <c r="E192" s="157"/>
      <c r="F192" s="131">
        <f t="shared" ref="F192:H193" si="75">I192+L192</f>
        <v>36000</v>
      </c>
      <c r="G192" s="57">
        <f t="shared" si="75"/>
        <v>36000</v>
      </c>
      <c r="H192" s="132">
        <f t="shared" si="75"/>
        <v>36000</v>
      </c>
      <c r="I192" s="70">
        <v>36000</v>
      </c>
      <c r="J192" s="59">
        <v>36000</v>
      </c>
      <c r="K192" s="59">
        <v>36000</v>
      </c>
      <c r="L192" s="59"/>
      <c r="M192" s="59"/>
      <c r="N192" s="59"/>
      <c r="O192" s="39">
        <f>ROW()</f>
        <v>192</v>
      </c>
      <c r="P192" s="40"/>
      <c r="Q192" s="39"/>
    </row>
    <row r="193" spans="1:17" ht="12" customHeight="1" x14ac:dyDescent="0.3">
      <c r="A193" s="58" t="str">
        <v/>
      </c>
      <c r="B193" s="55" t="str">
        <v/>
      </c>
      <c r="C193" s="56">
        <v>244</v>
      </c>
      <c r="D193" s="68">
        <v>224</v>
      </c>
      <c r="E193" s="157"/>
      <c r="F193" s="131">
        <f t="shared" si="75"/>
        <v>0</v>
      </c>
      <c r="G193" s="57">
        <f t="shared" si="75"/>
        <v>0</v>
      </c>
      <c r="H193" s="132">
        <f t="shared" si="75"/>
        <v>0</v>
      </c>
      <c r="I193" s="70"/>
      <c r="J193" s="59"/>
      <c r="K193" s="59"/>
      <c r="L193" s="59"/>
      <c r="M193" s="59"/>
      <c r="N193" s="59"/>
      <c r="O193" s="39"/>
      <c r="P193" s="40"/>
      <c r="Q193" s="39"/>
    </row>
    <row r="194" spans="1:17" ht="12" customHeight="1" x14ac:dyDescent="0.3">
      <c r="A194" s="58" t="str">
        <f t="array" ref="A194:A203">IFERROR(INDEX(КБК!E4:E887,SMALL(IF((($D$194=КБК!F4:F887)*($C$194=КБК!G4:G887)*(NOT(ISERR(SEARCH($O$1,КБК!D4:D887))))),ROW(КБК!E4:E887)-3,""),ROW()-$O$194+1)),"")</f>
        <v>аренда 0000000121.244.0</v>
      </c>
      <c r="B194" s="55" t="str">
        <f t="array" ref="B194:B203">IFERROR(INDEX(КБК!H4:H887,SMALL(IF((($D$194=КБК!F4:F887)*($C$194=КБК!G4:G887)*(NOT(ISERR(SEARCH($O$1,КБК!D4:D887))))),ROW(КБК!E4:E887)-3,""),ROW()-$O$194+1)),"")</f>
        <v>1102</v>
      </c>
      <c r="C194" s="56">
        <v>244</v>
      </c>
      <c r="D194" s="68">
        <v>225</v>
      </c>
      <c r="E194" s="187"/>
      <c r="F194" s="131">
        <f>I194+L194</f>
        <v>0</v>
      </c>
      <c r="G194" s="57">
        <f t="shared" ref="G194:H203" si="76">J194+M194</f>
        <v>0</v>
      </c>
      <c r="H194" s="132">
        <f t="shared" si="76"/>
        <v>0</v>
      </c>
      <c r="I194" s="70"/>
      <c r="J194" s="59"/>
      <c r="K194" s="59"/>
      <c r="L194" s="59"/>
      <c r="M194" s="59"/>
      <c r="N194" s="59"/>
      <c r="O194" s="39">
        <f>ROW()</f>
        <v>194</v>
      </c>
      <c r="P194" s="40"/>
      <c r="Q194" s="39"/>
    </row>
    <row r="195" spans="1:17" ht="12" customHeight="1" x14ac:dyDescent="0.3">
      <c r="A195" s="58" t="str">
        <v>доходы 0000000131.244.0</v>
      </c>
      <c r="B195" s="55" t="str">
        <v>1102</v>
      </c>
      <c r="C195" s="56">
        <v>244</v>
      </c>
      <c r="D195" s="68">
        <v>225</v>
      </c>
      <c r="E195" s="187"/>
      <c r="F195" s="131">
        <f t="shared" ref="F195:F203" si="77">I195+L195</f>
        <v>2000</v>
      </c>
      <c r="G195" s="57">
        <f t="shared" si="76"/>
        <v>2000</v>
      </c>
      <c r="H195" s="132">
        <f t="shared" si="76"/>
        <v>2000</v>
      </c>
      <c r="I195" s="70">
        <v>2000</v>
      </c>
      <c r="J195" s="59">
        <v>2000</v>
      </c>
      <c r="K195" s="59">
        <v>2000</v>
      </c>
      <c r="L195" s="59"/>
      <c r="M195" s="59"/>
      <c r="N195" s="59"/>
      <c r="O195" s="39"/>
      <c r="P195" s="40"/>
      <c r="Q195" s="39"/>
    </row>
    <row r="196" spans="1:17" ht="12" customHeight="1" x14ac:dyDescent="0.3">
      <c r="A196" s="58" t="str">
        <v>спонсор 0000000155.244.0</v>
      </c>
      <c r="B196" s="55" t="str">
        <v>1102</v>
      </c>
      <c r="C196" s="56">
        <v>244</v>
      </c>
      <c r="D196" s="68">
        <v>225</v>
      </c>
      <c r="E196" s="187"/>
      <c r="F196" s="131">
        <f t="shared" si="77"/>
        <v>0</v>
      </c>
      <c r="G196" s="57">
        <f t="shared" si="76"/>
        <v>0</v>
      </c>
      <c r="H196" s="132">
        <f t="shared" si="76"/>
        <v>0</v>
      </c>
      <c r="I196" s="70"/>
      <c r="J196" s="59"/>
      <c r="K196" s="59"/>
      <c r="L196" s="59"/>
      <c r="M196" s="59"/>
      <c r="N196" s="59"/>
      <c r="O196" s="39"/>
      <c r="P196" s="40"/>
      <c r="Q196" s="39"/>
    </row>
    <row r="197" spans="1:17" ht="12" customHeight="1" x14ac:dyDescent="0.3">
      <c r="A197" s="58" t="str">
        <v xml:space="preserve"> учащийся 0120823590.244.0</v>
      </c>
      <c r="B197" s="55" t="str">
        <v>0703</v>
      </c>
      <c r="C197" s="56">
        <v>244</v>
      </c>
      <c r="D197" s="68">
        <v>225</v>
      </c>
      <c r="E197" s="187"/>
      <c r="F197" s="131">
        <f t="shared" si="77"/>
        <v>0</v>
      </c>
      <c r="G197" s="57">
        <f t="shared" si="76"/>
        <v>0</v>
      </c>
      <c r="H197" s="132">
        <f t="shared" si="76"/>
        <v>0</v>
      </c>
      <c r="I197" s="70"/>
      <c r="J197" s="59"/>
      <c r="K197" s="59"/>
      <c r="L197" s="59"/>
      <c r="M197" s="59"/>
      <c r="N197" s="59"/>
      <c r="O197" s="39"/>
      <c r="P197" s="40"/>
      <c r="Q197" s="39"/>
    </row>
    <row r="198" spans="1:17" ht="12" customHeight="1" x14ac:dyDescent="0.3">
      <c r="A198" s="58" t="str">
        <v>спорт 1130387590.244.0</v>
      </c>
      <c r="B198" s="55" t="str">
        <v>1102</v>
      </c>
      <c r="C198" s="56">
        <v>244</v>
      </c>
      <c r="D198" s="68">
        <v>225</v>
      </c>
      <c r="E198" s="187"/>
      <c r="F198" s="131">
        <f t="shared" si="77"/>
        <v>765000</v>
      </c>
      <c r="G198" s="57">
        <f t="shared" si="76"/>
        <v>765000</v>
      </c>
      <c r="H198" s="132">
        <f t="shared" si="76"/>
        <v>765000</v>
      </c>
      <c r="I198" s="70">
        <v>765000</v>
      </c>
      <c r="J198" s="59">
        <v>765000</v>
      </c>
      <c r="K198" s="59">
        <v>765000</v>
      </c>
      <c r="L198" s="59"/>
      <c r="M198" s="59"/>
      <c r="N198" s="59"/>
      <c r="O198" s="39"/>
      <c r="P198" s="40"/>
      <c r="Q198" s="39"/>
    </row>
    <row r="199" spans="1:17" ht="12" customHeight="1" x14ac:dyDescent="0.3">
      <c r="A199" s="58" t="str">
        <v/>
      </c>
      <c r="B199" s="55" t="str">
        <v/>
      </c>
      <c r="C199" s="56">
        <v>244</v>
      </c>
      <c r="D199" s="68">
        <v>225</v>
      </c>
      <c r="E199" s="187"/>
      <c r="F199" s="131">
        <f t="shared" si="77"/>
        <v>0</v>
      </c>
      <c r="G199" s="57">
        <f t="shared" si="76"/>
        <v>0</v>
      </c>
      <c r="H199" s="132">
        <f t="shared" si="76"/>
        <v>0</v>
      </c>
      <c r="I199" s="70"/>
      <c r="J199" s="59"/>
      <c r="K199" s="59"/>
      <c r="L199" s="59"/>
      <c r="M199" s="59"/>
      <c r="N199" s="59"/>
      <c r="O199" s="39"/>
      <c r="P199" s="40"/>
      <c r="Q199" s="39"/>
    </row>
    <row r="200" spans="1:17" ht="12" customHeight="1" x14ac:dyDescent="0.3">
      <c r="A200" s="58" t="str">
        <v/>
      </c>
      <c r="B200" s="55" t="str">
        <v/>
      </c>
      <c r="C200" s="56">
        <v>244</v>
      </c>
      <c r="D200" s="68">
        <v>225</v>
      </c>
      <c r="E200" s="187"/>
      <c r="F200" s="131">
        <f t="shared" si="77"/>
        <v>0</v>
      </c>
      <c r="G200" s="57">
        <f t="shared" si="76"/>
        <v>0</v>
      </c>
      <c r="H200" s="132">
        <f t="shared" si="76"/>
        <v>0</v>
      </c>
      <c r="I200" s="70"/>
      <c r="J200" s="59"/>
      <c r="K200" s="59"/>
      <c r="L200" s="59"/>
      <c r="M200" s="59"/>
      <c r="N200" s="59"/>
      <c r="O200" s="39"/>
      <c r="P200" s="40"/>
      <c r="Q200" s="39"/>
    </row>
    <row r="201" spans="1:17" ht="12" customHeight="1" x14ac:dyDescent="0.3">
      <c r="A201" s="58" t="str">
        <v/>
      </c>
      <c r="B201" s="55" t="str">
        <v/>
      </c>
      <c r="C201" s="56">
        <v>244</v>
      </c>
      <c r="D201" s="68">
        <v>225</v>
      </c>
      <c r="E201" s="187"/>
      <c r="F201" s="131">
        <f t="shared" si="77"/>
        <v>0</v>
      </c>
      <c r="G201" s="57">
        <f t="shared" si="76"/>
        <v>0</v>
      </c>
      <c r="H201" s="132">
        <f t="shared" si="76"/>
        <v>0</v>
      </c>
      <c r="I201" s="70"/>
      <c r="J201" s="59"/>
      <c r="K201" s="59"/>
      <c r="L201" s="59"/>
      <c r="M201" s="59"/>
      <c r="N201" s="59"/>
      <c r="O201" s="39"/>
      <c r="P201" s="40"/>
      <c r="Q201" s="39"/>
    </row>
    <row r="202" spans="1:17" ht="12" customHeight="1" x14ac:dyDescent="0.3">
      <c r="A202" s="58" t="str">
        <v/>
      </c>
      <c r="B202" s="55" t="str">
        <v/>
      </c>
      <c r="C202" s="56">
        <v>244</v>
      </c>
      <c r="D202" s="68">
        <v>225</v>
      </c>
      <c r="E202" s="187"/>
      <c r="F202" s="131">
        <f t="shared" si="77"/>
        <v>0</v>
      </c>
      <c r="G202" s="57">
        <f t="shared" si="76"/>
        <v>0</v>
      </c>
      <c r="H202" s="132">
        <f t="shared" si="76"/>
        <v>0</v>
      </c>
      <c r="I202" s="70"/>
      <c r="J202" s="59"/>
      <c r="K202" s="59"/>
      <c r="L202" s="59"/>
      <c r="M202" s="59"/>
      <c r="N202" s="59"/>
      <c r="O202" s="39"/>
      <c r="P202" s="40"/>
      <c r="Q202" s="39"/>
    </row>
    <row r="203" spans="1:17" ht="12" customHeight="1" x14ac:dyDescent="0.3">
      <c r="A203" s="58" t="str">
        <v/>
      </c>
      <c r="B203" s="55" t="str">
        <v/>
      </c>
      <c r="C203" s="56">
        <v>244</v>
      </c>
      <c r="D203" s="68">
        <v>225</v>
      </c>
      <c r="E203" s="187"/>
      <c r="F203" s="131">
        <f t="shared" si="77"/>
        <v>0</v>
      </c>
      <c r="G203" s="57">
        <f t="shared" si="76"/>
        <v>0</v>
      </c>
      <c r="H203" s="132">
        <f t="shared" si="76"/>
        <v>0</v>
      </c>
      <c r="I203" s="70"/>
      <c r="J203" s="59"/>
      <c r="K203" s="59"/>
      <c r="L203" s="59"/>
      <c r="M203" s="59"/>
      <c r="N203" s="59"/>
      <c r="O203" s="39"/>
      <c r="P203" s="40"/>
      <c r="Q203" s="39"/>
    </row>
    <row r="204" spans="1:17" ht="12" customHeight="1" x14ac:dyDescent="0.3">
      <c r="A204" s="58" t="str">
        <f t="array" ref="A204:A214">IFERROR(INDEX(КБК!E4:E887,SMALL(IF((($D$204=КБК!F4:F887)*($C$204=КБК!G4:G887)*(NOT(ISERR(SEARCH($O$1,КБК!D4:D887))))),ROW(КБК!E4:E887)-3,""),ROW()-$O$204+1)),"")</f>
        <v>аренда 0000000121.244.0</v>
      </c>
      <c r="B204" s="55" t="str">
        <f t="array" ref="B204:B214">IFERROR(INDEX(КБК!H4:H887,SMALL(IF((($D$204=КБК!F4:F887)*($C$204=КБК!G4:G887)*(NOT(ISERR(SEARCH($O$1,КБК!D4:D887))))),ROW(КБК!E4:E887)-3,""),ROW()-$O$204+1)),"")</f>
        <v>1102</v>
      </c>
      <c r="C204" s="56">
        <v>244</v>
      </c>
      <c r="D204" s="68">
        <v>226</v>
      </c>
      <c r="E204" s="157"/>
      <c r="F204" s="131">
        <f>I204+L204</f>
        <v>0</v>
      </c>
      <c r="G204" s="57">
        <f>J204+M204</f>
        <v>0</v>
      </c>
      <c r="H204" s="132">
        <f>K204+N204</f>
        <v>0</v>
      </c>
      <c r="I204" s="70"/>
      <c r="J204" s="59"/>
      <c r="K204" s="59"/>
      <c r="L204" s="59"/>
      <c r="M204" s="59"/>
      <c r="N204" s="59"/>
      <c r="O204" s="39">
        <f>ROW()</f>
        <v>204</v>
      </c>
      <c r="P204" s="40"/>
      <c r="Q204" s="39"/>
    </row>
    <row r="205" spans="1:17" ht="12" customHeight="1" x14ac:dyDescent="0.3">
      <c r="A205" s="58" t="str">
        <v>доходы 0000000131.244.0</v>
      </c>
      <c r="B205" s="55" t="str">
        <v>1102</v>
      </c>
      <c r="C205" s="56">
        <v>244</v>
      </c>
      <c r="D205" s="68">
        <v>226</v>
      </c>
      <c r="E205" s="157"/>
      <c r="F205" s="131">
        <f t="shared" ref="F205:F214" si="78">I205+L205</f>
        <v>25000</v>
      </c>
      <c r="G205" s="57">
        <f t="shared" ref="G205:G214" si="79">J205+M205</f>
        <v>25000</v>
      </c>
      <c r="H205" s="132">
        <f t="shared" ref="H205:H214" si="80">K205+N205</f>
        <v>25000</v>
      </c>
      <c r="I205" s="70">
        <v>25000</v>
      </c>
      <c r="J205" s="59">
        <v>25000</v>
      </c>
      <c r="K205" s="59">
        <v>25000</v>
      </c>
      <c r="L205" s="59"/>
      <c r="M205" s="59"/>
      <c r="N205" s="59"/>
      <c r="O205" s="39"/>
      <c r="P205" s="40"/>
      <c r="Q205" s="39"/>
    </row>
    <row r="206" spans="1:17" ht="12" customHeight="1" x14ac:dyDescent="0.3">
      <c r="A206" s="58" t="str">
        <v>спонсор 0000000155.244.0</v>
      </c>
      <c r="B206" s="55" t="str">
        <v>1102</v>
      </c>
      <c r="C206" s="56">
        <v>244</v>
      </c>
      <c r="D206" s="68">
        <v>226</v>
      </c>
      <c r="E206" s="157"/>
      <c r="F206" s="131">
        <f t="shared" si="78"/>
        <v>0</v>
      </c>
      <c r="G206" s="57">
        <f t="shared" si="79"/>
        <v>0</v>
      </c>
      <c r="H206" s="132">
        <f t="shared" si="80"/>
        <v>0</v>
      </c>
      <c r="I206" s="70"/>
      <c r="J206" s="59"/>
      <c r="K206" s="59"/>
      <c r="L206" s="59"/>
      <c r="M206" s="59"/>
      <c r="N206" s="59"/>
      <c r="O206" s="39"/>
      <c r="P206" s="40"/>
      <c r="Q206" s="39"/>
    </row>
    <row r="207" spans="1:17" ht="12" customHeight="1" x14ac:dyDescent="0.3">
      <c r="A207" s="58" t="str">
        <v xml:space="preserve"> учащийся 0120823590.244.0</v>
      </c>
      <c r="B207" s="55" t="str">
        <v>0703</v>
      </c>
      <c r="C207" s="56">
        <v>244</v>
      </c>
      <c r="D207" s="68">
        <v>226</v>
      </c>
      <c r="E207" s="157"/>
      <c r="F207" s="131">
        <f t="shared" si="78"/>
        <v>0</v>
      </c>
      <c r="G207" s="57">
        <f t="shared" si="79"/>
        <v>0</v>
      </c>
      <c r="H207" s="132">
        <f t="shared" si="80"/>
        <v>0</v>
      </c>
      <c r="I207" s="70"/>
      <c r="J207" s="59"/>
      <c r="K207" s="59"/>
      <c r="L207" s="59"/>
      <c r="M207" s="59"/>
      <c r="N207" s="59"/>
      <c r="O207" s="39"/>
      <c r="P207" s="40"/>
      <c r="Q207" s="39"/>
    </row>
    <row r="208" spans="1:17" ht="12" customHeight="1" x14ac:dyDescent="0.3">
      <c r="A208" s="58" t="str">
        <v>спорт 1130387590.244.0</v>
      </c>
      <c r="B208" s="55" t="str">
        <v>1102</v>
      </c>
      <c r="C208" s="56">
        <v>244</v>
      </c>
      <c r="D208" s="68">
        <v>226</v>
      </c>
      <c r="E208" s="157"/>
      <c r="F208" s="131">
        <f t="shared" si="78"/>
        <v>477000</v>
      </c>
      <c r="G208" s="57">
        <f t="shared" si="79"/>
        <v>477000</v>
      </c>
      <c r="H208" s="132">
        <f t="shared" si="80"/>
        <v>477000</v>
      </c>
      <c r="I208" s="70">
        <v>477000</v>
      </c>
      <c r="J208" s="59">
        <v>477000</v>
      </c>
      <c r="K208" s="59">
        <v>477000</v>
      </c>
      <c r="L208" s="59"/>
      <c r="M208" s="59"/>
      <c r="N208" s="59"/>
      <c r="O208" s="39"/>
      <c r="P208" s="40"/>
      <c r="Q208" s="39"/>
    </row>
    <row r="209" spans="1:17" ht="12" customHeight="1" x14ac:dyDescent="0.3">
      <c r="A209" s="58" t="str">
        <v>городская среда 7770674650.244.0</v>
      </c>
      <c r="B209" s="55" t="str">
        <v>0503</v>
      </c>
      <c r="C209" s="56">
        <v>244</v>
      </c>
      <c r="D209" s="68">
        <v>226</v>
      </c>
      <c r="E209" s="157"/>
      <c r="F209" s="131">
        <f t="shared" si="78"/>
        <v>47426200</v>
      </c>
      <c r="G209" s="57">
        <f t="shared" si="79"/>
        <v>0</v>
      </c>
      <c r="H209" s="132">
        <f t="shared" si="80"/>
        <v>0</v>
      </c>
      <c r="I209" s="70"/>
      <c r="J209" s="59"/>
      <c r="K209" s="59"/>
      <c r="L209" s="59">
        <v>47426200</v>
      </c>
      <c r="M209" s="59"/>
      <c r="N209" s="59"/>
      <c r="O209" s="39"/>
      <c r="P209" s="40"/>
      <c r="Q209" s="39"/>
    </row>
    <row r="210" spans="1:17" ht="12" customHeight="1" x14ac:dyDescent="0.3">
      <c r="A210" s="58" t="str">
        <v>комфорт 777F254240.244.0</v>
      </c>
      <c r="B210" s="55" t="str">
        <v>0505</v>
      </c>
      <c r="C210" s="56">
        <v>244</v>
      </c>
      <c r="D210" s="68">
        <v>226</v>
      </c>
      <c r="E210" s="157"/>
      <c r="F210" s="131">
        <f t="shared" si="78"/>
        <v>45000000</v>
      </c>
      <c r="G210" s="57">
        <f t="shared" si="79"/>
        <v>0</v>
      </c>
      <c r="H210" s="132">
        <f t="shared" si="80"/>
        <v>0</v>
      </c>
      <c r="I210" s="70">
        <v>45000000</v>
      </c>
      <c r="J210" s="59"/>
      <c r="K210" s="59"/>
      <c r="L210" s="59"/>
      <c r="M210" s="59"/>
      <c r="N210" s="59"/>
      <c r="O210" s="39"/>
      <c r="P210" s="40"/>
      <c r="Q210" s="39"/>
    </row>
    <row r="211" spans="1:17" ht="12" customHeight="1" x14ac:dyDescent="0.3">
      <c r="A211" s="58" t="str">
        <v/>
      </c>
      <c r="B211" s="55" t="str">
        <v/>
      </c>
      <c r="C211" s="56">
        <v>244</v>
      </c>
      <c r="D211" s="68">
        <v>226</v>
      </c>
      <c r="E211" s="157"/>
      <c r="F211" s="131">
        <f t="shared" si="78"/>
        <v>0</v>
      </c>
      <c r="G211" s="57">
        <f t="shared" si="79"/>
        <v>0</v>
      </c>
      <c r="H211" s="132">
        <f t="shared" si="80"/>
        <v>0</v>
      </c>
      <c r="I211" s="70"/>
      <c r="J211" s="59"/>
      <c r="K211" s="59"/>
      <c r="L211" s="59"/>
      <c r="M211" s="59"/>
      <c r="N211" s="59"/>
      <c r="O211" s="39"/>
      <c r="P211" s="40"/>
      <c r="Q211" s="39"/>
    </row>
    <row r="212" spans="1:17" ht="12" customHeight="1" x14ac:dyDescent="0.3">
      <c r="A212" s="58" t="str">
        <v/>
      </c>
      <c r="B212" s="55" t="str">
        <v/>
      </c>
      <c r="C212" s="56">
        <v>244</v>
      </c>
      <c r="D212" s="68">
        <v>226</v>
      </c>
      <c r="E212" s="157"/>
      <c r="F212" s="131">
        <f t="shared" si="78"/>
        <v>0</v>
      </c>
      <c r="G212" s="57">
        <f t="shared" si="79"/>
        <v>0</v>
      </c>
      <c r="H212" s="132">
        <f t="shared" si="80"/>
        <v>0</v>
      </c>
      <c r="I212" s="70"/>
      <c r="J212" s="59"/>
      <c r="K212" s="59"/>
      <c r="L212" s="59"/>
      <c r="M212" s="59"/>
      <c r="N212" s="59"/>
      <c r="O212" s="39"/>
      <c r="P212" s="40"/>
      <c r="Q212" s="39"/>
    </row>
    <row r="213" spans="1:17" ht="12" customHeight="1" x14ac:dyDescent="0.3">
      <c r="A213" s="58" t="str">
        <v/>
      </c>
      <c r="B213" s="55" t="str">
        <v/>
      </c>
      <c r="C213" s="56">
        <v>244</v>
      </c>
      <c r="D213" s="68">
        <v>226</v>
      </c>
      <c r="E213" s="157"/>
      <c r="F213" s="131">
        <f t="shared" si="78"/>
        <v>0</v>
      </c>
      <c r="G213" s="57">
        <f t="shared" si="79"/>
        <v>0</v>
      </c>
      <c r="H213" s="132">
        <f t="shared" si="80"/>
        <v>0</v>
      </c>
      <c r="I213" s="70"/>
      <c r="J213" s="59"/>
      <c r="K213" s="59"/>
      <c r="L213" s="59"/>
      <c r="M213" s="59"/>
      <c r="N213" s="59"/>
      <c r="O213" s="39"/>
      <c r="P213" s="40"/>
      <c r="Q213" s="39"/>
    </row>
    <row r="214" spans="1:17" ht="12" customHeight="1" x14ac:dyDescent="0.3">
      <c r="A214" s="58" t="str">
        <v/>
      </c>
      <c r="B214" s="55" t="str">
        <v/>
      </c>
      <c r="C214" s="56">
        <v>244</v>
      </c>
      <c r="D214" s="68">
        <v>226</v>
      </c>
      <c r="E214" s="157"/>
      <c r="F214" s="131">
        <f t="shared" si="78"/>
        <v>0</v>
      </c>
      <c r="G214" s="57">
        <f t="shared" si="79"/>
        <v>0</v>
      </c>
      <c r="H214" s="132">
        <f t="shared" si="80"/>
        <v>0</v>
      </c>
      <c r="I214" s="70"/>
      <c r="J214" s="59"/>
      <c r="K214" s="59"/>
      <c r="L214" s="59"/>
      <c r="M214" s="59"/>
      <c r="N214" s="59"/>
      <c r="O214" s="39"/>
      <c r="P214" s="40"/>
      <c r="Q214" s="39"/>
    </row>
    <row r="215" spans="1:17" ht="12" customHeight="1" x14ac:dyDescent="0.3">
      <c r="A215" s="58" t="str">
        <f t="array" ref="A215:A217">IFERROR(INDEX(КБК!E4:E887,SMALL(IF((($D$215=КБК!F4:F887)*($C$215=КБК!G4:G887)*(NOT(ISERR(SEARCH($O$1,КБК!D4:D887))))),ROW(КБК!E4:E887)-3,""),ROW()-$O$215+1)),"")</f>
        <v>спорт 1130387590.244.0</v>
      </c>
      <c r="B215" s="55" t="str">
        <f t="array" ref="B215:B217">IFERROR(INDEX(КБК!H4:H887,SMALL(IF((($D$215=КБК!F4:F887)*($C$215=КБК!G4:G887)*(NOT(ISERR(SEARCH($O$1,КБК!D4:D887))))),ROW(КБК!E4:E887)-3,""),ROW()-$O$215+1)),"")</f>
        <v>1102</v>
      </c>
      <c r="C215" s="56">
        <v>244</v>
      </c>
      <c r="D215" s="68">
        <v>227</v>
      </c>
      <c r="E215" s="187"/>
      <c r="F215" s="131">
        <f t="shared" ref="F215:H217" si="81">I215+L215</f>
        <v>45000</v>
      </c>
      <c r="G215" s="57">
        <f t="shared" si="81"/>
        <v>45000</v>
      </c>
      <c r="H215" s="132">
        <f t="shared" si="81"/>
        <v>45000</v>
      </c>
      <c r="I215" s="70">
        <v>45000</v>
      </c>
      <c r="J215" s="59">
        <v>45000</v>
      </c>
      <c r="K215" s="59">
        <v>45000</v>
      </c>
      <c r="L215" s="59"/>
      <c r="M215" s="59"/>
      <c r="N215" s="59"/>
      <c r="O215" s="39">
        <f>ROW()</f>
        <v>215</v>
      </c>
      <c r="P215" s="40"/>
      <c r="Q215" s="39"/>
    </row>
    <row r="216" spans="1:17" ht="12" customHeight="1" x14ac:dyDescent="0.3">
      <c r="A216" s="58" t="str">
        <v/>
      </c>
      <c r="B216" s="55" t="str">
        <v/>
      </c>
      <c r="C216" s="56">
        <v>244</v>
      </c>
      <c r="D216" s="68">
        <v>227</v>
      </c>
      <c r="E216" s="187"/>
      <c r="F216" s="131">
        <f t="shared" si="81"/>
        <v>0</v>
      </c>
      <c r="G216" s="57">
        <f t="shared" si="81"/>
        <v>0</v>
      </c>
      <c r="H216" s="132">
        <f t="shared" si="81"/>
        <v>0</v>
      </c>
      <c r="I216" s="70"/>
      <c r="J216" s="59"/>
      <c r="K216" s="59"/>
      <c r="L216" s="59"/>
      <c r="M216" s="59"/>
      <c r="N216" s="59"/>
      <c r="O216" s="39"/>
      <c r="P216" s="40"/>
      <c r="Q216" s="39"/>
    </row>
    <row r="217" spans="1:17" ht="12" customHeight="1" x14ac:dyDescent="0.3">
      <c r="A217" s="58" t="str">
        <v/>
      </c>
      <c r="B217" s="55" t="str">
        <v/>
      </c>
      <c r="C217" s="56">
        <v>244</v>
      </c>
      <c r="D217" s="68">
        <v>227</v>
      </c>
      <c r="E217" s="187"/>
      <c r="F217" s="131">
        <f t="shared" si="81"/>
        <v>0</v>
      </c>
      <c r="G217" s="73">
        <f t="shared" si="81"/>
        <v>0</v>
      </c>
      <c r="H217" s="132">
        <f t="shared" si="81"/>
        <v>0</v>
      </c>
      <c r="I217" s="70"/>
      <c r="J217" s="74"/>
      <c r="K217" s="74"/>
      <c r="L217" s="59"/>
      <c r="M217" s="59"/>
      <c r="N217" s="59"/>
      <c r="O217" s="39"/>
      <c r="P217" s="40"/>
      <c r="Q217" s="39"/>
    </row>
    <row r="218" spans="1:17" ht="12" customHeight="1" x14ac:dyDescent="0.3">
      <c r="A218" s="58" t="str">
        <f t="array" ref="A218:A220">IFERROR(INDEX(КБК!E4:E887,SMALL(IF((($D$218=КБК!F4:F887)*($C$218=КБК!G4:G887)*(NOT(ISERR(SEARCH($O$1,КБК!D4:D887))))),ROW(КБК!E4:E887)-3,""),ROW()-$O$218+1)),"")</f>
        <v>доходы 0000000131.244.0</v>
      </c>
      <c r="B218" s="55" t="str">
        <f t="array" ref="B218:B220">IFERROR(INDEX(КБК!H4:H887,SMALL(IF((($D$218=КБК!F4:F887)*($C$218=КБК!G4:G887)*(NOT(ISERR(SEARCH($O$1,КБК!D4:D887))))),ROW(КБК!E4:E887)-3,""),ROW()-$O$218+1)),"")</f>
        <v>1102</v>
      </c>
      <c r="C218" s="56">
        <v>244</v>
      </c>
      <c r="D218" s="68">
        <v>228</v>
      </c>
      <c r="E218" s="157"/>
      <c r="F218" s="131">
        <f t="shared" ref="F218:H220" si="82">I218+L218</f>
        <v>0</v>
      </c>
      <c r="G218" s="57">
        <f t="shared" si="82"/>
        <v>0</v>
      </c>
      <c r="H218" s="132">
        <f t="shared" si="82"/>
        <v>0</v>
      </c>
      <c r="I218" s="70"/>
      <c r="J218" s="75"/>
      <c r="K218" s="75"/>
      <c r="L218" s="75"/>
      <c r="M218" s="75"/>
      <c r="N218" s="59"/>
      <c r="O218" s="39">
        <f>ROW()</f>
        <v>218</v>
      </c>
      <c r="P218" s="40"/>
      <c r="Q218" s="39"/>
    </row>
    <row r="219" spans="1:17" ht="12" customHeight="1" x14ac:dyDescent="0.3">
      <c r="A219" s="58" t="str">
        <v>спорт 1130387590.244.0</v>
      </c>
      <c r="B219" s="55" t="str">
        <v>1102</v>
      </c>
      <c r="C219" s="56">
        <v>244</v>
      </c>
      <c r="D219" s="68">
        <v>228</v>
      </c>
      <c r="E219" s="157"/>
      <c r="F219" s="131">
        <f t="shared" si="82"/>
        <v>0</v>
      </c>
      <c r="G219" s="57">
        <f t="shared" si="82"/>
        <v>0</v>
      </c>
      <c r="H219" s="132">
        <f t="shared" si="82"/>
        <v>0</v>
      </c>
      <c r="I219" s="70"/>
      <c r="J219" s="59"/>
      <c r="K219" s="59"/>
      <c r="L219" s="75"/>
      <c r="M219" s="75"/>
      <c r="N219" s="59"/>
      <c r="O219" s="39"/>
      <c r="P219" s="40"/>
      <c r="Q219" s="39"/>
    </row>
    <row r="220" spans="1:17" ht="12" customHeight="1" x14ac:dyDescent="0.3">
      <c r="A220" s="58" t="str">
        <v/>
      </c>
      <c r="B220" s="55" t="str">
        <v/>
      </c>
      <c r="C220" s="56">
        <v>244</v>
      </c>
      <c r="D220" s="68">
        <v>228</v>
      </c>
      <c r="E220" s="157"/>
      <c r="F220" s="131">
        <f t="shared" si="82"/>
        <v>0</v>
      </c>
      <c r="G220" s="57">
        <f t="shared" si="82"/>
        <v>0</v>
      </c>
      <c r="H220" s="132">
        <f t="shared" si="82"/>
        <v>0</v>
      </c>
      <c r="I220" s="70"/>
      <c r="J220" s="59"/>
      <c r="K220" s="59"/>
      <c r="L220" s="75"/>
      <c r="M220" s="75"/>
      <c r="N220" s="59"/>
      <c r="O220" s="39"/>
      <c r="P220" s="40"/>
      <c r="Q220" s="39"/>
    </row>
    <row r="221" spans="1:17" ht="12" customHeight="1" x14ac:dyDescent="0.3">
      <c r="A221" s="58" t="str">
        <f t="array" ref="A221:A233">IFERROR(INDEX(КБК!E4:E887,SMALL(IF((($D$221=КБК!F4:F887)*($C$221=КБК!G4:G887)*(NOT(ISERR(SEARCH($O$1,КБК!D4:D887))))),ROW(КБК!E4:E887)-3,""),ROW()-$O$221+1)),"")</f>
        <v>аренда 0000000121.244.0</v>
      </c>
      <c r="B221" s="55" t="str">
        <f t="array" ref="B221:B233">IFERROR(INDEX(КБК!H4:H887,SMALL(IF((($D$221=КБК!F4:F887)*($C$221=КБК!G4:G887)*(NOT(ISERR(SEARCH($O$1,КБК!D4:D887))))),ROW(КБК!E4:E887)-3,""),ROW()-$O$221+1)),"")</f>
        <v>1102</v>
      </c>
      <c r="C221" s="56">
        <v>244</v>
      </c>
      <c r="D221" s="68">
        <v>310</v>
      </c>
      <c r="E221" s="187"/>
      <c r="F221" s="131">
        <f>I221+L221</f>
        <v>0</v>
      </c>
      <c r="G221" s="57">
        <f t="shared" ref="G221:H233" si="83">J221+M221</f>
        <v>0</v>
      </c>
      <c r="H221" s="132">
        <f t="shared" si="83"/>
        <v>0</v>
      </c>
      <c r="I221" s="70"/>
      <c r="J221" s="59"/>
      <c r="K221" s="59"/>
      <c r="L221" s="59"/>
      <c r="M221" s="59"/>
      <c r="N221" s="59"/>
      <c r="O221" s="39">
        <f>ROW()</f>
        <v>221</v>
      </c>
      <c r="P221" s="40"/>
      <c r="Q221" s="39"/>
    </row>
    <row r="222" spans="1:17" ht="12" customHeight="1" x14ac:dyDescent="0.3">
      <c r="A222" s="58" t="str">
        <v>доходы 0000000131.244.0</v>
      </c>
      <c r="B222" s="55" t="str">
        <v>1102</v>
      </c>
      <c r="C222" s="56">
        <v>244</v>
      </c>
      <c r="D222" s="68">
        <v>310</v>
      </c>
      <c r="E222" s="187"/>
      <c r="F222" s="131">
        <f t="shared" ref="F222:F233" si="84">I222+L222</f>
        <v>0</v>
      </c>
      <c r="G222" s="57">
        <f t="shared" si="83"/>
        <v>0</v>
      </c>
      <c r="H222" s="132">
        <f t="shared" si="83"/>
        <v>0</v>
      </c>
      <c r="I222" s="70"/>
      <c r="J222" s="59"/>
      <c r="K222" s="59"/>
      <c r="L222" s="59"/>
      <c r="M222" s="59"/>
      <c r="N222" s="59"/>
      <c r="O222" s="39"/>
      <c r="P222" s="40"/>
      <c r="Q222" s="39"/>
    </row>
    <row r="223" spans="1:17" ht="12" customHeight="1" x14ac:dyDescent="0.3">
      <c r="A223" s="58" t="str">
        <v>спонсор 0000000155.244.0</v>
      </c>
      <c r="B223" s="55" t="str">
        <v>1102</v>
      </c>
      <c r="C223" s="56">
        <v>244</v>
      </c>
      <c r="D223" s="68">
        <v>310</v>
      </c>
      <c r="E223" s="187"/>
      <c r="F223" s="131">
        <f t="shared" si="84"/>
        <v>0</v>
      </c>
      <c r="G223" s="57">
        <f t="shared" si="83"/>
        <v>0</v>
      </c>
      <c r="H223" s="132">
        <f t="shared" si="83"/>
        <v>0</v>
      </c>
      <c r="I223" s="70"/>
      <c r="J223" s="59"/>
      <c r="K223" s="59"/>
      <c r="L223" s="59"/>
      <c r="M223" s="59"/>
      <c r="N223" s="59"/>
      <c r="O223" s="39"/>
      <c r="P223" s="40"/>
      <c r="Q223" s="39"/>
    </row>
    <row r="224" spans="1:17" ht="12" customHeight="1" x14ac:dyDescent="0.3">
      <c r="A224" s="58" t="str">
        <v xml:space="preserve"> учащийся 0120823590.244.0</v>
      </c>
      <c r="B224" s="55" t="str">
        <v>0703</v>
      </c>
      <c r="C224" s="56">
        <v>244</v>
      </c>
      <c r="D224" s="68">
        <v>310</v>
      </c>
      <c r="E224" s="187"/>
      <c r="F224" s="131">
        <f t="shared" si="84"/>
        <v>0</v>
      </c>
      <c r="G224" s="57">
        <f t="shared" si="83"/>
        <v>0</v>
      </c>
      <c r="H224" s="132">
        <f t="shared" si="83"/>
        <v>0</v>
      </c>
      <c r="I224" s="70"/>
      <c r="J224" s="59"/>
      <c r="K224" s="59"/>
      <c r="L224" s="59"/>
      <c r="M224" s="59"/>
      <c r="N224" s="59"/>
      <c r="O224" s="39"/>
      <c r="P224" s="40"/>
      <c r="Q224" s="39"/>
    </row>
    <row r="225" spans="1:17" ht="12" customHeight="1" x14ac:dyDescent="0.3">
      <c r="A225" s="58" t="str">
        <v>спорт 1130387590.244.0</v>
      </c>
      <c r="B225" s="55" t="str">
        <v>1102</v>
      </c>
      <c r="C225" s="56">
        <v>244</v>
      </c>
      <c r="D225" s="68">
        <v>310</v>
      </c>
      <c r="E225" s="187"/>
      <c r="F225" s="131">
        <f t="shared" si="84"/>
        <v>360000</v>
      </c>
      <c r="G225" s="57">
        <f t="shared" si="83"/>
        <v>360000</v>
      </c>
      <c r="H225" s="132">
        <f t="shared" si="83"/>
        <v>360000</v>
      </c>
      <c r="I225" s="70">
        <v>360000</v>
      </c>
      <c r="J225" s="59">
        <v>360000</v>
      </c>
      <c r="K225" s="59">
        <v>360000</v>
      </c>
      <c r="L225" s="59"/>
      <c r="M225" s="59"/>
      <c r="N225" s="59"/>
      <c r="O225" s="39"/>
      <c r="P225" s="40"/>
      <c r="Q225" s="39"/>
    </row>
    <row r="226" spans="1:17" ht="12" customHeight="1" x14ac:dyDescent="0.3">
      <c r="A226" s="58" t="str">
        <v/>
      </c>
      <c r="B226" s="55" t="str">
        <v/>
      </c>
      <c r="C226" s="56">
        <v>244</v>
      </c>
      <c r="D226" s="68">
        <v>310</v>
      </c>
      <c r="E226" s="187"/>
      <c r="F226" s="131">
        <f t="shared" si="84"/>
        <v>0</v>
      </c>
      <c r="G226" s="57">
        <f t="shared" si="83"/>
        <v>0</v>
      </c>
      <c r="H226" s="132">
        <f t="shared" si="83"/>
        <v>0</v>
      </c>
      <c r="I226" s="70"/>
      <c r="J226" s="59"/>
      <c r="K226" s="59"/>
      <c r="L226" s="59"/>
      <c r="M226" s="59"/>
      <c r="N226" s="59"/>
      <c r="O226" s="39"/>
      <c r="P226" s="40"/>
      <c r="Q226" s="39"/>
    </row>
    <row r="227" spans="1:17" ht="12" customHeight="1" x14ac:dyDescent="0.3">
      <c r="A227" s="58" t="str">
        <v/>
      </c>
      <c r="B227" s="55" t="str">
        <v/>
      </c>
      <c r="C227" s="56">
        <v>244</v>
      </c>
      <c r="D227" s="68">
        <v>310</v>
      </c>
      <c r="E227" s="187"/>
      <c r="F227" s="131">
        <f t="shared" si="84"/>
        <v>0</v>
      </c>
      <c r="G227" s="57">
        <f t="shared" si="83"/>
        <v>0</v>
      </c>
      <c r="H227" s="132">
        <f t="shared" si="83"/>
        <v>0</v>
      </c>
      <c r="I227" s="70"/>
      <c r="J227" s="59"/>
      <c r="K227" s="59"/>
      <c r="L227" s="59"/>
      <c r="M227" s="59"/>
      <c r="N227" s="59"/>
      <c r="O227" s="39"/>
      <c r="P227" s="40"/>
      <c r="Q227" s="39"/>
    </row>
    <row r="228" spans="1:17" ht="12" customHeight="1" x14ac:dyDescent="0.3">
      <c r="A228" s="58" t="str">
        <v/>
      </c>
      <c r="B228" s="55" t="str">
        <v/>
      </c>
      <c r="C228" s="56">
        <v>244</v>
      </c>
      <c r="D228" s="68">
        <v>310</v>
      </c>
      <c r="E228" s="187"/>
      <c r="F228" s="131">
        <f t="shared" si="84"/>
        <v>0</v>
      </c>
      <c r="G228" s="57">
        <f t="shared" si="83"/>
        <v>0</v>
      </c>
      <c r="H228" s="132">
        <f t="shared" si="83"/>
        <v>0</v>
      </c>
      <c r="I228" s="70"/>
      <c r="J228" s="59"/>
      <c r="K228" s="59"/>
      <c r="L228" s="59"/>
      <c r="M228" s="59"/>
      <c r="N228" s="59"/>
      <c r="O228" s="39"/>
      <c r="P228" s="40"/>
      <c r="Q228" s="39"/>
    </row>
    <row r="229" spans="1:17" ht="12" customHeight="1" x14ac:dyDescent="0.3">
      <c r="A229" s="58" t="str">
        <v/>
      </c>
      <c r="B229" s="55" t="str">
        <v/>
      </c>
      <c r="C229" s="56">
        <v>244</v>
      </c>
      <c r="D229" s="68">
        <v>310</v>
      </c>
      <c r="E229" s="187"/>
      <c r="F229" s="131">
        <f t="shared" si="84"/>
        <v>0</v>
      </c>
      <c r="G229" s="57">
        <f t="shared" si="83"/>
        <v>0</v>
      </c>
      <c r="H229" s="132">
        <f t="shared" si="83"/>
        <v>0</v>
      </c>
      <c r="I229" s="70"/>
      <c r="J229" s="59"/>
      <c r="K229" s="59"/>
      <c r="L229" s="59"/>
      <c r="M229" s="59"/>
      <c r="N229" s="59"/>
      <c r="O229" s="39"/>
      <c r="P229" s="40"/>
      <c r="Q229" s="39"/>
    </row>
    <row r="230" spans="1:17" ht="12" customHeight="1" x14ac:dyDescent="0.3">
      <c r="A230" s="58" t="str">
        <v/>
      </c>
      <c r="B230" s="55" t="str">
        <v/>
      </c>
      <c r="C230" s="56">
        <v>244</v>
      </c>
      <c r="D230" s="68">
        <v>310</v>
      </c>
      <c r="E230" s="187"/>
      <c r="F230" s="131">
        <f t="shared" si="84"/>
        <v>0</v>
      </c>
      <c r="G230" s="57">
        <f t="shared" si="83"/>
        <v>0</v>
      </c>
      <c r="H230" s="132">
        <f t="shared" si="83"/>
        <v>0</v>
      </c>
      <c r="I230" s="70"/>
      <c r="J230" s="59"/>
      <c r="K230" s="59"/>
      <c r="L230" s="59"/>
      <c r="M230" s="59"/>
      <c r="N230" s="59"/>
      <c r="O230" s="39"/>
      <c r="P230" s="40"/>
      <c r="Q230" s="39"/>
    </row>
    <row r="231" spans="1:17" ht="12" customHeight="1" x14ac:dyDescent="0.3">
      <c r="A231" s="58" t="str">
        <v/>
      </c>
      <c r="B231" s="55" t="str">
        <v/>
      </c>
      <c r="C231" s="56">
        <v>244</v>
      </c>
      <c r="D231" s="68">
        <v>310</v>
      </c>
      <c r="E231" s="187"/>
      <c r="F231" s="131">
        <f t="shared" si="84"/>
        <v>0</v>
      </c>
      <c r="G231" s="57">
        <f t="shared" si="83"/>
        <v>0</v>
      </c>
      <c r="H231" s="132">
        <f t="shared" si="83"/>
        <v>0</v>
      </c>
      <c r="I231" s="70"/>
      <c r="J231" s="59"/>
      <c r="K231" s="59"/>
      <c r="L231" s="59"/>
      <c r="M231" s="59"/>
      <c r="N231" s="59"/>
      <c r="O231" s="39"/>
      <c r="P231" s="40"/>
      <c r="Q231" s="39"/>
    </row>
    <row r="232" spans="1:17" ht="12" customHeight="1" x14ac:dyDescent="0.3">
      <c r="A232" s="58" t="str">
        <v/>
      </c>
      <c r="B232" s="55" t="str">
        <v/>
      </c>
      <c r="C232" s="56">
        <v>244</v>
      </c>
      <c r="D232" s="68">
        <v>310</v>
      </c>
      <c r="E232" s="187"/>
      <c r="F232" s="131">
        <f t="shared" si="84"/>
        <v>0</v>
      </c>
      <c r="G232" s="57">
        <f t="shared" si="83"/>
        <v>0</v>
      </c>
      <c r="H232" s="132">
        <f t="shared" si="83"/>
        <v>0</v>
      </c>
      <c r="I232" s="70"/>
      <c r="J232" s="59"/>
      <c r="K232" s="59"/>
      <c r="L232" s="59"/>
      <c r="M232" s="59"/>
      <c r="N232" s="59"/>
      <c r="O232" s="39"/>
      <c r="P232" s="40"/>
      <c r="Q232" s="39"/>
    </row>
    <row r="233" spans="1:17" ht="12" customHeight="1" x14ac:dyDescent="0.3">
      <c r="A233" s="58" t="str">
        <v/>
      </c>
      <c r="B233" s="55" t="str">
        <v/>
      </c>
      <c r="C233" s="56">
        <v>244</v>
      </c>
      <c r="D233" s="68">
        <v>310</v>
      </c>
      <c r="E233" s="187"/>
      <c r="F233" s="131">
        <f t="shared" si="84"/>
        <v>0</v>
      </c>
      <c r="G233" s="57">
        <f t="shared" si="83"/>
        <v>0</v>
      </c>
      <c r="H233" s="132">
        <f t="shared" si="83"/>
        <v>0</v>
      </c>
      <c r="I233" s="70"/>
      <c r="J233" s="59"/>
      <c r="K233" s="59"/>
      <c r="L233" s="59"/>
      <c r="M233" s="59"/>
      <c r="N233" s="59"/>
      <c r="O233" s="39"/>
      <c r="P233" s="40"/>
      <c r="Q233" s="39"/>
    </row>
    <row r="234" spans="1:17" ht="12" customHeight="1" x14ac:dyDescent="0.3">
      <c r="A234" s="58" t="str">
        <f t="array" ref="A234:A237">IFERROR(INDEX(КБК!E4:E887,SMALL(IF((($D$234=КБК!F4:F887)*($C$234=КБК!G4:G887)*(NOT(ISERR(SEARCH($O$1,КБК!D4:D887))))),ROW(КБК!E4:E887)-3,""),ROW()-$O$234+1)),"")</f>
        <v>спорт 1130387590.244.0</v>
      </c>
      <c r="B234" s="55" t="str">
        <f t="array" ref="B234:B237">IFERROR(INDEX(КБК!H4:H887,SMALL(IF((($D$234=КБК!F4:F887)*($C$234=КБК!G4:G887)*(NOT(ISERR(SEARCH($O$1,КБК!D4:D887))))),ROW(КБК!E4:E887)-3,""),ROW()-$O$234+1)),"")</f>
        <v>1102</v>
      </c>
      <c r="C234" s="56">
        <v>244</v>
      </c>
      <c r="D234" s="68">
        <v>341</v>
      </c>
      <c r="E234" s="157"/>
      <c r="F234" s="131">
        <f t="shared" ref="F234:F242" si="85">I234+L234</f>
        <v>28800</v>
      </c>
      <c r="G234" s="57">
        <f t="shared" ref="G234:H237" si="86">J234+M234</f>
        <v>28800</v>
      </c>
      <c r="H234" s="132">
        <f t="shared" si="86"/>
        <v>28800</v>
      </c>
      <c r="I234" s="70">
        <v>28800</v>
      </c>
      <c r="J234" s="59">
        <v>28800</v>
      </c>
      <c r="K234" s="59">
        <v>28800</v>
      </c>
      <c r="L234" s="59"/>
      <c r="M234" s="59"/>
      <c r="N234" s="59"/>
      <c r="O234" s="39">
        <f>ROW()</f>
        <v>234</v>
      </c>
      <c r="P234" s="40"/>
      <c r="Q234" s="39"/>
    </row>
    <row r="235" spans="1:17" ht="12" customHeight="1" x14ac:dyDescent="0.3">
      <c r="A235" s="58" t="str">
        <v/>
      </c>
      <c r="B235" s="55" t="str">
        <v/>
      </c>
      <c r="C235" s="56">
        <v>244</v>
      </c>
      <c r="D235" s="68">
        <v>341</v>
      </c>
      <c r="E235" s="157"/>
      <c r="F235" s="131">
        <f t="shared" si="85"/>
        <v>0</v>
      </c>
      <c r="G235" s="57">
        <f t="shared" si="86"/>
        <v>0</v>
      </c>
      <c r="H235" s="132">
        <f t="shared" si="86"/>
        <v>0</v>
      </c>
      <c r="I235" s="70"/>
      <c r="J235" s="59"/>
      <c r="K235" s="59"/>
      <c r="L235" s="59"/>
      <c r="M235" s="59"/>
      <c r="N235" s="59"/>
      <c r="O235" s="39"/>
      <c r="P235" s="40"/>
      <c r="Q235" s="39"/>
    </row>
    <row r="236" spans="1:17" ht="12" customHeight="1" x14ac:dyDescent="0.3">
      <c r="A236" s="58" t="str">
        <v/>
      </c>
      <c r="B236" s="55" t="str">
        <v/>
      </c>
      <c r="C236" s="56">
        <v>244</v>
      </c>
      <c r="D236" s="68">
        <v>341</v>
      </c>
      <c r="E236" s="157"/>
      <c r="F236" s="131">
        <f t="shared" si="85"/>
        <v>0</v>
      </c>
      <c r="G236" s="57">
        <f t="shared" si="86"/>
        <v>0</v>
      </c>
      <c r="H236" s="132">
        <f t="shared" si="86"/>
        <v>0</v>
      </c>
      <c r="I236" s="70"/>
      <c r="J236" s="59"/>
      <c r="K236" s="59"/>
      <c r="L236" s="59"/>
      <c r="M236" s="59"/>
      <c r="N236" s="59"/>
      <c r="O236" s="39"/>
      <c r="P236" s="40"/>
      <c r="Q236" s="39"/>
    </row>
    <row r="237" spans="1:17" ht="12" customHeight="1" x14ac:dyDescent="0.3">
      <c r="A237" s="58" t="str">
        <v/>
      </c>
      <c r="B237" s="55" t="str">
        <v/>
      </c>
      <c r="C237" s="56">
        <v>244</v>
      </c>
      <c r="D237" s="68">
        <v>341</v>
      </c>
      <c r="E237" s="157"/>
      <c r="F237" s="131">
        <f t="shared" si="85"/>
        <v>0</v>
      </c>
      <c r="G237" s="57">
        <f t="shared" si="86"/>
        <v>0</v>
      </c>
      <c r="H237" s="132">
        <f t="shared" si="86"/>
        <v>0</v>
      </c>
      <c r="I237" s="70"/>
      <c r="J237" s="59"/>
      <c r="K237" s="59"/>
      <c r="L237" s="59"/>
      <c r="M237" s="59"/>
      <c r="N237" s="59"/>
      <c r="O237" s="39"/>
      <c r="P237" s="40"/>
      <c r="Q237" s="39"/>
    </row>
    <row r="238" spans="1:17" ht="12" customHeight="1" x14ac:dyDescent="0.3">
      <c r="A238" s="58" t="str">
        <f t="array" ref="A238:A241">IFERROR(INDEX(КБК!E4:E887,SMALL(IF((($D$238=КБК!F4:F887)*($C$238=КБК!G4:G887)*(NOT(ISERR(SEARCH($O$1,КБК!D4:D887))))),ROW(КБК!E4:E887)-3,""),ROW()-$O$238+1)),"")</f>
        <v>доходы 0000000131.244.0</v>
      </c>
      <c r="B238" s="55" t="str">
        <f t="array" ref="B238:B241">IFERROR(INDEX(КБК!H4:H887,SMALL(IF((($D$238=КБК!F4:F887)*($C$238=КБК!G4:G887)*(NOT(ISERR(SEARCH($O$1,КБК!D4:D887))))),ROW(КБК!E4:E887)-3,""),ROW()-$O$238+1)),"")</f>
        <v>1102</v>
      </c>
      <c r="C238" s="56">
        <v>244</v>
      </c>
      <c r="D238" s="68">
        <v>342</v>
      </c>
      <c r="E238" s="187"/>
      <c r="F238" s="131">
        <f t="shared" si="85"/>
        <v>30000</v>
      </c>
      <c r="G238" s="57">
        <f t="shared" ref="G238:H241" si="87">J238+M238</f>
        <v>30000</v>
      </c>
      <c r="H238" s="132">
        <f t="shared" si="87"/>
        <v>30000</v>
      </c>
      <c r="I238" s="70">
        <v>30000</v>
      </c>
      <c r="J238" s="59">
        <v>30000</v>
      </c>
      <c r="K238" s="59">
        <v>30000</v>
      </c>
      <c r="L238" s="59"/>
      <c r="M238" s="59"/>
      <c r="N238" s="59"/>
      <c r="O238" s="39">
        <f>ROW()</f>
        <v>238</v>
      </c>
      <c r="P238" s="40"/>
      <c r="Q238" s="39"/>
    </row>
    <row r="239" spans="1:17" ht="12" customHeight="1" x14ac:dyDescent="0.3">
      <c r="A239" s="58" t="str">
        <v/>
      </c>
      <c r="B239" s="55" t="str">
        <v/>
      </c>
      <c r="C239" s="56">
        <v>244</v>
      </c>
      <c r="D239" s="68">
        <v>342</v>
      </c>
      <c r="E239" s="187"/>
      <c r="F239" s="131">
        <f t="shared" si="85"/>
        <v>0</v>
      </c>
      <c r="G239" s="57">
        <f t="shared" si="87"/>
        <v>0</v>
      </c>
      <c r="H239" s="132">
        <f t="shared" si="87"/>
        <v>0</v>
      </c>
      <c r="I239" s="70"/>
      <c r="J239" s="59"/>
      <c r="K239" s="59"/>
      <c r="L239" s="59"/>
      <c r="M239" s="59"/>
      <c r="N239" s="59"/>
      <c r="O239" s="39"/>
      <c r="P239" s="40"/>
      <c r="Q239" s="39"/>
    </row>
    <row r="240" spans="1:17" ht="12" customHeight="1" x14ac:dyDescent="0.3">
      <c r="A240" s="58" t="str">
        <v/>
      </c>
      <c r="B240" s="55" t="str">
        <v/>
      </c>
      <c r="C240" s="56">
        <v>244</v>
      </c>
      <c r="D240" s="68">
        <v>342</v>
      </c>
      <c r="E240" s="187"/>
      <c r="F240" s="131">
        <f t="shared" si="85"/>
        <v>0</v>
      </c>
      <c r="G240" s="57">
        <f t="shared" si="87"/>
        <v>0</v>
      </c>
      <c r="H240" s="132">
        <f t="shared" si="87"/>
        <v>0</v>
      </c>
      <c r="I240" s="70"/>
      <c r="J240" s="59"/>
      <c r="K240" s="59"/>
      <c r="L240" s="59"/>
      <c r="M240" s="59"/>
      <c r="N240" s="59"/>
      <c r="O240" s="39"/>
      <c r="P240" s="40"/>
      <c r="Q240" s="39"/>
    </row>
    <row r="241" spans="1:17" ht="12" customHeight="1" x14ac:dyDescent="0.3">
      <c r="A241" s="58" t="str">
        <v/>
      </c>
      <c r="B241" s="55" t="str">
        <v/>
      </c>
      <c r="C241" s="56">
        <v>244</v>
      </c>
      <c r="D241" s="68">
        <v>342</v>
      </c>
      <c r="E241" s="187"/>
      <c r="F241" s="131">
        <f t="shared" si="85"/>
        <v>0</v>
      </c>
      <c r="G241" s="57">
        <f t="shared" si="87"/>
        <v>0</v>
      </c>
      <c r="H241" s="132">
        <f t="shared" si="87"/>
        <v>0</v>
      </c>
      <c r="I241" s="70"/>
      <c r="J241" s="59"/>
      <c r="K241" s="59"/>
      <c r="L241" s="59"/>
      <c r="M241" s="59"/>
      <c r="N241" s="59"/>
      <c r="O241" s="39"/>
      <c r="P241" s="40"/>
      <c r="Q241" s="39"/>
    </row>
    <row r="242" spans="1:17" ht="12" customHeight="1" x14ac:dyDescent="0.3">
      <c r="A242" s="58" t="str">
        <f t="array" ref="A242:A248">IFERROR(INDEX(КБК!E4:E887,SMALL(IF((($D$242=КБК!F4:F887)*($C$242=КБК!G4:G887)*(NOT(ISERR(SEARCH($O$1,КБК!D4:D887))))),ROW(КБК!E4:E887)-3,""),ROW()-$O$242+1)),"")</f>
        <v>доходы 0000000131.244.0</v>
      </c>
      <c r="B242" s="55" t="str">
        <f t="array" ref="B242:B248">IFERROR(INDEX(КБК!H4:H887,SMALL(IF((($D$242=КБК!F4:F887)*($C$242=КБК!G4:G887)*(NOT(ISERR(SEARCH($O$1,КБК!D4:D887))))),ROW(КБК!E4:E887)-3,""),ROW()-$O$242+1)),"")</f>
        <v>1102</v>
      </c>
      <c r="C242" s="56">
        <v>244</v>
      </c>
      <c r="D242" s="68">
        <v>343</v>
      </c>
      <c r="E242" s="157"/>
      <c r="F242" s="131">
        <f t="shared" si="85"/>
        <v>55000</v>
      </c>
      <c r="G242" s="57">
        <f t="shared" ref="G242:H248" si="88">J242+M242</f>
        <v>55000</v>
      </c>
      <c r="H242" s="132">
        <f t="shared" si="88"/>
        <v>55000</v>
      </c>
      <c r="I242" s="70">
        <v>55000</v>
      </c>
      <c r="J242" s="59">
        <v>55000</v>
      </c>
      <c r="K242" s="59">
        <v>55000</v>
      </c>
      <c r="L242" s="59"/>
      <c r="M242" s="59"/>
      <c r="N242" s="59"/>
      <c r="O242" s="39">
        <f>ROW()</f>
        <v>242</v>
      </c>
      <c r="P242" s="40"/>
      <c r="Q242" s="39"/>
    </row>
    <row r="243" spans="1:17" ht="12" customHeight="1" x14ac:dyDescent="0.3">
      <c r="A243" s="58" t="str">
        <v>спорт 1130387590.244.0</v>
      </c>
      <c r="B243" s="55" t="str">
        <v>1102</v>
      </c>
      <c r="C243" s="56">
        <v>244</v>
      </c>
      <c r="D243" s="68">
        <v>343</v>
      </c>
      <c r="E243" s="157"/>
      <c r="F243" s="131">
        <f t="shared" ref="F243:F248" si="89">I243+L243</f>
        <v>594000</v>
      </c>
      <c r="G243" s="57">
        <f t="shared" si="88"/>
        <v>594000</v>
      </c>
      <c r="H243" s="132">
        <f t="shared" si="88"/>
        <v>594000</v>
      </c>
      <c r="I243" s="70">
        <v>594000</v>
      </c>
      <c r="J243" s="59">
        <v>594000</v>
      </c>
      <c r="K243" s="59">
        <v>594000</v>
      </c>
      <c r="L243" s="59"/>
      <c r="M243" s="59"/>
      <c r="N243" s="59"/>
      <c r="O243" s="39"/>
      <c r="P243" s="40"/>
      <c r="Q243" s="39"/>
    </row>
    <row r="244" spans="1:17" ht="12" customHeight="1" x14ac:dyDescent="0.3">
      <c r="A244" s="58" t="str">
        <v/>
      </c>
      <c r="B244" s="55" t="str">
        <v/>
      </c>
      <c r="C244" s="56">
        <v>244</v>
      </c>
      <c r="D244" s="68">
        <v>343</v>
      </c>
      <c r="E244" s="157"/>
      <c r="F244" s="131">
        <f t="shared" si="89"/>
        <v>0</v>
      </c>
      <c r="G244" s="57">
        <f t="shared" si="88"/>
        <v>0</v>
      </c>
      <c r="H244" s="132">
        <f t="shared" si="88"/>
        <v>0</v>
      </c>
      <c r="I244" s="70"/>
      <c r="J244" s="59"/>
      <c r="K244" s="59"/>
      <c r="L244" s="59"/>
      <c r="M244" s="59"/>
      <c r="N244" s="59"/>
      <c r="O244" s="39"/>
      <c r="P244" s="40"/>
      <c r="Q244" s="39"/>
    </row>
    <row r="245" spans="1:17" ht="12" customHeight="1" x14ac:dyDescent="0.3">
      <c r="A245" s="58" t="str">
        <v/>
      </c>
      <c r="B245" s="55" t="str">
        <v/>
      </c>
      <c r="C245" s="56">
        <v>244</v>
      </c>
      <c r="D245" s="68">
        <v>343</v>
      </c>
      <c r="E245" s="157"/>
      <c r="F245" s="131">
        <f t="shared" si="89"/>
        <v>0</v>
      </c>
      <c r="G245" s="57">
        <f t="shared" si="88"/>
        <v>0</v>
      </c>
      <c r="H245" s="132">
        <f t="shared" si="88"/>
        <v>0</v>
      </c>
      <c r="I245" s="70"/>
      <c r="J245" s="59"/>
      <c r="K245" s="59"/>
      <c r="L245" s="59"/>
      <c r="M245" s="59"/>
      <c r="N245" s="59"/>
      <c r="O245" s="39"/>
      <c r="P245" s="40"/>
      <c r="Q245" s="39"/>
    </row>
    <row r="246" spans="1:17" ht="12" customHeight="1" x14ac:dyDescent="0.3">
      <c r="A246" s="58" t="str">
        <v/>
      </c>
      <c r="B246" s="55" t="str">
        <v/>
      </c>
      <c r="C246" s="56">
        <v>244</v>
      </c>
      <c r="D246" s="68">
        <v>343</v>
      </c>
      <c r="E246" s="157"/>
      <c r="F246" s="131">
        <f t="shared" si="89"/>
        <v>0</v>
      </c>
      <c r="G246" s="57">
        <f t="shared" si="88"/>
        <v>0</v>
      </c>
      <c r="H246" s="132">
        <f t="shared" si="88"/>
        <v>0</v>
      </c>
      <c r="I246" s="70"/>
      <c r="J246" s="59"/>
      <c r="K246" s="59"/>
      <c r="L246" s="59"/>
      <c r="M246" s="59"/>
      <c r="N246" s="59"/>
      <c r="O246" s="39"/>
      <c r="P246" s="40"/>
      <c r="Q246" s="39"/>
    </row>
    <row r="247" spans="1:17" ht="12" customHeight="1" x14ac:dyDescent="0.3">
      <c r="A247" s="58" t="str">
        <v/>
      </c>
      <c r="B247" s="55" t="str">
        <v/>
      </c>
      <c r="C247" s="56">
        <v>244</v>
      </c>
      <c r="D247" s="68">
        <v>343</v>
      </c>
      <c r="E247" s="157"/>
      <c r="F247" s="131">
        <f t="shared" si="89"/>
        <v>0</v>
      </c>
      <c r="G247" s="57">
        <f t="shared" si="88"/>
        <v>0</v>
      </c>
      <c r="H247" s="132">
        <f t="shared" si="88"/>
        <v>0</v>
      </c>
      <c r="I247" s="70"/>
      <c r="J247" s="59"/>
      <c r="K247" s="59"/>
      <c r="L247" s="59"/>
      <c r="M247" s="59"/>
      <c r="N247" s="59"/>
      <c r="O247" s="39"/>
      <c r="P247" s="40"/>
      <c r="Q247" s="39"/>
    </row>
    <row r="248" spans="1:17" ht="12" customHeight="1" x14ac:dyDescent="0.3">
      <c r="A248" s="58" t="str">
        <v/>
      </c>
      <c r="B248" s="55" t="str">
        <v/>
      </c>
      <c r="C248" s="56">
        <v>244</v>
      </c>
      <c r="D248" s="68">
        <v>343</v>
      </c>
      <c r="E248" s="157"/>
      <c r="F248" s="131">
        <f t="shared" si="89"/>
        <v>0</v>
      </c>
      <c r="G248" s="57">
        <f t="shared" si="88"/>
        <v>0</v>
      </c>
      <c r="H248" s="132">
        <f t="shared" si="88"/>
        <v>0</v>
      </c>
      <c r="I248" s="70"/>
      <c r="J248" s="59"/>
      <c r="K248" s="59"/>
      <c r="L248" s="59"/>
      <c r="M248" s="59"/>
      <c r="N248" s="59"/>
      <c r="O248" s="39"/>
      <c r="P248" s="40"/>
      <c r="Q248" s="39"/>
    </row>
    <row r="249" spans="1:17" ht="12" customHeight="1" x14ac:dyDescent="0.3">
      <c r="A249" s="58" t="str">
        <f t="array" ref="A249:A252">IFERROR(INDEX(КБК!E4:E887,SMALL(IF((($D$249=КБК!F4:F887)*($C$249=КБК!G4:G887)*(NOT(ISERR(SEARCH($O$1,КБК!D4:D887))))),ROW(КБК!E4:E887)-3,""),ROW()-$O$249+1)),"")</f>
        <v>доходы 0000000131.244.0</v>
      </c>
      <c r="B249" s="55" t="str">
        <f t="array" ref="B249:B252">IFERROR(INDEX(КБК!H4:H887,SMALL(IF((($D$249=КБК!F4:F887)*($C$249=КБК!G4:G887)*(NOT(ISERR(SEARCH($O$1,КБК!D4:D887))))),ROW(КБК!E4:E887)-3,""),ROW()-$O$249+1)),"")</f>
        <v>1102</v>
      </c>
      <c r="C249" s="56">
        <v>244</v>
      </c>
      <c r="D249" s="68">
        <v>344</v>
      </c>
      <c r="E249" s="187"/>
      <c r="F249" s="131">
        <f t="shared" ref="F249:F257" si="90">I249+L249</f>
        <v>0</v>
      </c>
      <c r="G249" s="57">
        <f t="shared" ref="G249:H252" si="91">J249+M249</f>
        <v>0</v>
      </c>
      <c r="H249" s="132">
        <f t="shared" si="91"/>
        <v>0</v>
      </c>
      <c r="I249" s="70"/>
      <c r="J249" s="59"/>
      <c r="K249" s="59"/>
      <c r="L249" s="59"/>
      <c r="M249" s="59"/>
      <c r="N249" s="59"/>
      <c r="O249" s="39">
        <f>ROW()</f>
        <v>249</v>
      </c>
      <c r="P249" s="40"/>
      <c r="Q249" s="39"/>
    </row>
    <row r="250" spans="1:17" ht="12" customHeight="1" x14ac:dyDescent="0.3">
      <c r="A250" s="58" t="str">
        <v>спорт 1130387590.244.0</v>
      </c>
      <c r="B250" s="55" t="str">
        <v>1102</v>
      </c>
      <c r="C250" s="56">
        <v>244</v>
      </c>
      <c r="D250" s="68">
        <v>344</v>
      </c>
      <c r="E250" s="187"/>
      <c r="F250" s="131">
        <f t="shared" si="90"/>
        <v>720000</v>
      </c>
      <c r="G250" s="57">
        <f t="shared" si="91"/>
        <v>720000</v>
      </c>
      <c r="H250" s="132">
        <f t="shared" si="91"/>
        <v>720000</v>
      </c>
      <c r="I250" s="70">
        <v>720000</v>
      </c>
      <c r="J250" s="59">
        <v>720000</v>
      </c>
      <c r="K250" s="59">
        <v>720000</v>
      </c>
      <c r="L250" s="59"/>
      <c r="M250" s="59"/>
      <c r="N250" s="59"/>
      <c r="O250" s="39"/>
      <c r="P250" s="40"/>
      <c r="Q250" s="39"/>
    </row>
    <row r="251" spans="1:17" ht="12" customHeight="1" x14ac:dyDescent="0.3">
      <c r="A251" s="58" t="str">
        <v/>
      </c>
      <c r="B251" s="55" t="str">
        <v/>
      </c>
      <c r="C251" s="56">
        <v>244</v>
      </c>
      <c r="D251" s="68">
        <v>344</v>
      </c>
      <c r="E251" s="187"/>
      <c r="F251" s="131">
        <f t="shared" si="90"/>
        <v>0</v>
      </c>
      <c r="G251" s="57">
        <f t="shared" si="91"/>
        <v>0</v>
      </c>
      <c r="H251" s="132">
        <f t="shared" si="91"/>
        <v>0</v>
      </c>
      <c r="I251" s="70"/>
      <c r="J251" s="59"/>
      <c r="K251" s="59"/>
      <c r="L251" s="59"/>
      <c r="M251" s="59"/>
      <c r="N251" s="59"/>
      <c r="O251" s="39"/>
      <c r="P251" s="40"/>
      <c r="Q251" s="39"/>
    </row>
    <row r="252" spans="1:17" ht="12" customHeight="1" x14ac:dyDescent="0.3">
      <c r="A252" s="58" t="str">
        <v/>
      </c>
      <c r="B252" s="55" t="str">
        <v/>
      </c>
      <c r="C252" s="56">
        <v>244</v>
      </c>
      <c r="D252" s="68">
        <v>344</v>
      </c>
      <c r="E252" s="187"/>
      <c r="F252" s="131">
        <f t="shared" si="90"/>
        <v>0</v>
      </c>
      <c r="G252" s="57">
        <f t="shared" si="91"/>
        <v>0</v>
      </c>
      <c r="H252" s="132">
        <f t="shared" si="91"/>
        <v>0</v>
      </c>
      <c r="I252" s="70"/>
      <c r="J252" s="59"/>
      <c r="K252" s="59"/>
      <c r="L252" s="59"/>
      <c r="M252" s="59"/>
      <c r="N252" s="59"/>
      <c r="O252" s="39"/>
      <c r="P252" s="40"/>
      <c r="Q252" s="39"/>
    </row>
    <row r="253" spans="1:17" ht="12" customHeight="1" x14ac:dyDescent="0.3">
      <c r="A253" s="58" t="str">
        <f t="array" ref="A253:A256">IFERROR(INDEX(КБК!E4:E887,SMALL(IF((($D$253=КБК!F4:F887)*($C$253=КБК!G4:G887)*(NOT(ISERR(SEARCH($O$1,КБК!D4:D887))))),ROW(КБК!E4:E887)-3,""),ROW()-$O$253+1)),"")</f>
        <v>доходы 0000000131.244.0</v>
      </c>
      <c r="B253" s="55" t="str">
        <f t="array" ref="B253:B256">IFERROR(INDEX(КБК!H4:H887,SMALL(IF((($D$253=КБК!F4:F887)*($C$253=КБК!G4:G887)*(NOT(ISERR(SEARCH($O$1,КБК!D4:D887))))),ROW(КБК!E4:E887)-3,""),ROW()-$O$253+1)),"")</f>
        <v>1102</v>
      </c>
      <c r="C253" s="56">
        <v>244</v>
      </c>
      <c r="D253" s="68">
        <v>345</v>
      </c>
      <c r="E253" s="157"/>
      <c r="F253" s="131">
        <f t="shared" si="90"/>
        <v>0</v>
      </c>
      <c r="G253" s="57">
        <f t="shared" ref="G253:H256" si="92">J253+M253</f>
        <v>0</v>
      </c>
      <c r="H253" s="132">
        <f t="shared" si="92"/>
        <v>0</v>
      </c>
      <c r="I253" s="70"/>
      <c r="J253" s="59"/>
      <c r="K253" s="59"/>
      <c r="L253" s="59"/>
      <c r="M253" s="59"/>
      <c r="N253" s="59"/>
      <c r="O253" s="39">
        <f>ROW()</f>
        <v>253</v>
      </c>
      <c r="P253" s="40"/>
      <c r="Q253" s="39"/>
    </row>
    <row r="254" spans="1:17" ht="12" customHeight="1" x14ac:dyDescent="0.3">
      <c r="A254" s="58" t="str">
        <v>спорт 1130387590.244.0</v>
      </c>
      <c r="B254" s="55" t="str">
        <v>1102</v>
      </c>
      <c r="C254" s="56">
        <v>244</v>
      </c>
      <c r="D254" s="68">
        <v>345</v>
      </c>
      <c r="E254" s="157"/>
      <c r="F254" s="131">
        <f t="shared" si="90"/>
        <v>270000</v>
      </c>
      <c r="G254" s="57">
        <f t="shared" si="92"/>
        <v>270000</v>
      </c>
      <c r="H254" s="132">
        <f t="shared" si="92"/>
        <v>270000</v>
      </c>
      <c r="I254" s="70">
        <v>270000</v>
      </c>
      <c r="J254" s="59">
        <v>270000</v>
      </c>
      <c r="K254" s="59">
        <v>270000</v>
      </c>
      <c r="L254" s="59"/>
      <c r="M254" s="59"/>
      <c r="N254" s="59"/>
      <c r="O254" s="39"/>
      <c r="P254" s="40"/>
      <c r="Q254" s="39"/>
    </row>
    <row r="255" spans="1:17" ht="12" customHeight="1" x14ac:dyDescent="0.3">
      <c r="A255" s="58" t="str">
        <v/>
      </c>
      <c r="B255" s="55" t="str">
        <v/>
      </c>
      <c r="C255" s="56">
        <v>244</v>
      </c>
      <c r="D255" s="68">
        <v>345</v>
      </c>
      <c r="E255" s="157"/>
      <c r="F255" s="131">
        <f t="shared" si="90"/>
        <v>0</v>
      </c>
      <c r="G255" s="57">
        <f t="shared" si="92"/>
        <v>0</v>
      </c>
      <c r="H255" s="132">
        <f t="shared" si="92"/>
        <v>0</v>
      </c>
      <c r="I255" s="70"/>
      <c r="J255" s="59"/>
      <c r="K255" s="59"/>
      <c r="L255" s="59"/>
      <c r="M255" s="59"/>
      <c r="N255" s="59"/>
      <c r="O255" s="39"/>
      <c r="P255" s="40"/>
      <c r="Q255" s="39"/>
    </row>
    <row r="256" spans="1:17" ht="12" customHeight="1" x14ac:dyDescent="0.3">
      <c r="A256" s="58" t="str">
        <v/>
      </c>
      <c r="B256" s="55" t="str">
        <v/>
      </c>
      <c r="C256" s="56">
        <v>244</v>
      </c>
      <c r="D256" s="68">
        <v>345</v>
      </c>
      <c r="E256" s="157"/>
      <c r="F256" s="131">
        <f t="shared" si="90"/>
        <v>0</v>
      </c>
      <c r="G256" s="57">
        <f t="shared" si="92"/>
        <v>0</v>
      </c>
      <c r="H256" s="132">
        <f t="shared" si="92"/>
        <v>0</v>
      </c>
      <c r="I256" s="70"/>
      <c r="J256" s="59"/>
      <c r="K256" s="59"/>
      <c r="L256" s="59"/>
      <c r="M256" s="59"/>
      <c r="N256" s="59"/>
      <c r="O256" s="39"/>
      <c r="P256" s="40"/>
      <c r="Q256" s="39"/>
    </row>
    <row r="257" spans="1:17" ht="12" customHeight="1" x14ac:dyDescent="0.3">
      <c r="A257" s="58" t="str">
        <f t="array" ref="A257:A265">IFERROR(INDEX(КБК!E4:E887,SMALL(IF((($D$257=КБК!F4:F887)*($C$257=КБК!G4:G887)*(NOT(ISERR(SEARCH($O$1,КБК!D4:D887))))),ROW(КБК!E4:E887)-3,""),ROW()-$O$257+1)),"")</f>
        <v>аренда 0000000121.244.0</v>
      </c>
      <c r="B257" s="186" t="str">
        <f t="array" ref="B257:B265">IFERROR(INDEX(КБК!H4:H887,SMALL(IF((($D$257=КБК!F4:F887)*($C$257=КБК!G4:G887)*(NOT(ISERR(SEARCH($O$1,КБК!D4:D887))))),ROW(КБК!E4:E887)-3,""),ROW()-$O$257+1)),"")</f>
        <v>1102</v>
      </c>
      <c r="C257" s="56">
        <v>244</v>
      </c>
      <c r="D257" s="68">
        <v>346</v>
      </c>
      <c r="E257" s="187"/>
      <c r="F257" s="131">
        <f t="shared" si="90"/>
        <v>0</v>
      </c>
      <c r="G257" s="57">
        <f t="shared" ref="G257:H265" si="93">J257+M257</f>
        <v>0</v>
      </c>
      <c r="H257" s="132">
        <f t="shared" si="93"/>
        <v>0</v>
      </c>
      <c r="I257" s="70"/>
      <c r="J257" s="59"/>
      <c r="K257" s="59"/>
      <c r="L257" s="59"/>
      <c r="M257" s="59"/>
      <c r="N257" s="59"/>
      <c r="O257" s="39">
        <f>ROW()</f>
        <v>257</v>
      </c>
      <c r="P257" s="40"/>
      <c r="Q257" s="39"/>
    </row>
    <row r="258" spans="1:17" ht="12" customHeight="1" x14ac:dyDescent="0.3">
      <c r="A258" s="58" t="str">
        <v>доходы 0000000131.244.0</v>
      </c>
      <c r="B258" s="186" t="str">
        <v>1102</v>
      </c>
      <c r="C258" s="56">
        <v>244</v>
      </c>
      <c r="D258" s="68">
        <v>346</v>
      </c>
      <c r="E258" s="187"/>
      <c r="F258" s="131">
        <f t="shared" ref="F258:F265" si="94">I258+L258</f>
        <v>99464.18</v>
      </c>
      <c r="G258" s="57">
        <f t="shared" si="93"/>
        <v>50000</v>
      </c>
      <c r="H258" s="132">
        <f t="shared" si="93"/>
        <v>50000</v>
      </c>
      <c r="I258" s="70">
        <v>124464.18</v>
      </c>
      <c r="J258" s="59">
        <v>50000</v>
      </c>
      <c r="K258" s="59">
        <v>50000</v>
      </c>
      <c r="L258" s="59">
        <v>-25000</v>
      </c>
      <c r="M258" s="59"/>
      <c r="N258" s="59"/>
      <c r="O258" s="39"/>
      <c r="P258" s="40"/>
      <c r="Q258" s="39"/>
    </row>
    <row r="259" spans="1:17" ht="12" customHeight="1" x14ac:dyDescent="0.3">
      <c r="A259" s="58" t="str">
        <v>учащийся 0120823590.244.0</v>
      </c>
      <c r="B259" s="186" t="str">
        <v>0703</v>
      </c>
      <c r="C259" s="56">
        <v>244</v>
      </c>
      <c r="D259" s="68">
        <v>346</v>
      </c>
      <c r="E259" s="187"/>
      <c r="F259" s="131">
        <f t="shared" si="94"/>
        <v>0</v>
      </c>
      <c r="G259" s="57">
        <f t="shared" si="93"/>
        <v>0</v>
      </c>
      <c r="H259" s="132">
        <f t="shared" si="93"/>
        <v>0</v>
      </c>
      <c r="I259" s="70"/>
      <c r="J259" s="59"/>
      <c r="K259" s="59"/>
      <c r="L259" s="59"/>
      <c r="M259" s="59"/>
      <c r="N259" s="59"/>
      <c r="O259" s="39"/>
      <c r="P259" s="40"/>
      <c r="Q259" s="39"/>
    </row>
    <row r="260" spans="1:17" ht="12" customHeight="1" x14ac:dyDescent="0.3">
      <c r="A260" s="58" t="str">
        <v>спорт 1130387590.244.0</v>
      </c>
      <c r="B260" s="186" t="str">
        <v>1102</v>
      </c>
      <c r="C260" s="56">
        <v>244</v>
      </c>
      <c r="D260" s="68">
        <v>346</v>
      </c>
      <c r="E260" s="187"/>
      <c r="F260" s="131">
        <f t="shared" si="94"/>
        <v>896514.98</v>
      </c>
      <c r="G260" s="57">
        <f t="shared" si="93"/>
        <v>895140</v>
      </c>
      <c r="H260" s="132">
        <f t="shared" si="93"/>
        <v>895140</v>
      </c>
      <c r="I260" s="70">
        <v>896514.98</v>
      </c>
      <c r="J260" s="59">
        <v>895140</v>
      </c>
      <c r="K260" s="59">
        <v>895140</v>
      </c>
      <c r="L260" s="59"/>
      <c r="M260" s="59"/>
      <c r="N260" s="59"/>
      <c r="O260" s="39"/>
      <c r="P260" s="40"/>
      <c r="Q260" s="39"/>
    </row>
    <row r="261" spans="1:17" ht="12" customHeight="1" x14ac:dyDescent="0.3">
      <c r="A261" s="58" t="str">
        <v/>
      </c>
      <c r="B261" s="186" t="str">
        <v/>
      </c>
      <c r="C261" s="56">
        <v>244</v>
      </c>
      <c r="D261" s="68">
        <v>346</v>
      </c>
      <c r="E261" s="187"/>
      <c r="F261" s="131">
        <f t="shared" si="94"/>
        <v>0</v>
      </c>
      <c r="G261" s="57">
        <f t="shared" si="93"/>
        <v>0</v>
      </c>
      <c r="H261" s="132">
        <f t="shared" si="93"/>
        <v>0</v>
      </c>
      <c r="I261" s="70"/>
      <c r="J261" s="59"/>
      <c r="K261" s="59"/>
      <c r="L261" s="59"/>
      <c r="M261" s="59"/>
      <c r="N261" s="59"/>
      <c r="O261" s="39"/>
      <c r="P261" s="40"/>
      <c r="Q261" s="39"/>
    </row>
    <row r="262" spans="1:17" ht="12" customHeight="1" x14ac:dyDescent="0.3">
      <c r="A262" s="58" t="str">
        <v/>
      </c>
      <c r="B262" s="186" t="str">
        <v/>
      </c>
      <c r="C262" s="56">
        <v>244</v>
      </c>
      <c r="D262" s="68">
        <v>346</v>
      </c>
      <c r="E262" s="187"/>
      <c r="F262" s="131">
        <f t="shared" si="94"/>
        <v>0</v>
      </c>
      <c r="G262" s="57">
        <f t="shared" si="93"/>
        <v>0</v>
      </c>
      <c r="H262" s="132">
        <f t="shared" si="93"/>
        <v>0</v>
      </c>
      <c r="I262" s="70"/>
      <c r="J262" s="59"/>
      <c r="K262" s="59"/>
      <c r="L262" s="59"/>
      <c r="M262" s="59"/>
      <c r="N262" s="59"/>
      <c r="O262" s="39"/>
      <c r="P262" s="40"/>
      <c r="Q262" s="39"/>
    </row>
    <row r="263" spans="1:17" ht="12" customHeight="1" x14ac:dyDescent="0.3">
      <c r="A263" s="58" t="str">
        <v/>
      </c>
      <c r="B263" s="186" t="str">
        <v/>
      </c>
      <c r="C263" s="56">
        <v>244</v>
      </c>
      <c r="D263" s="68">
        <v>346</v>
      </c>
      <c r="E263" s="187"/>
      <c r="F263" s="131">
        <f t="shared" si="94"/>
        <v>0</v>
      </c>
      <c r="G263" s="57">
        <f t="shared" si="93"/>
        <v>0</v>
      </c>
      <c r="H263" s="132">
        <f t="shared" si="93"/>
        <v>0</v>
      </c>
      <c r="I263" s="70"/>
      <c r="J263" s="59"/>
      <c r="K263" s="59"/>
      <c r="L263" s="59"/>
      <c r="M263" s="59"/>
      <c r="N263" s="59"/>
      <c r="O263" s="39"/>
      <c r="P263" s="40"/>
      <c r="Q263" s="39"/>
    </row>
    <row r="264" spans="1:17" ht="12" customHeight="1" x14ac:dyDescent="0.3">
      <c r="A264" s="58" t="str">
        <v/>
      </c>
      <c r="B264" s="186" t="str">
        <v/>
      </c>
      <c r="C264" s="56">
        <v>244</v>
      </c>
      <c r="D264" s="68">
        <v>346</v>
      </c>
      <c r="E264" s="187"/>
      <c r="F264" s="131">
        <f t="shared" si="94"/>
        <v>0</v>
      </c>
      <c r="G264" s="57">
        <f t="shared" si="93"/>
        <v>0</v>
      </c>
      <c r="H264" s="132">
        <f t="shared" si="93"/>
        <v>0</v>
      </c>
      <c r="I264" s="70"/>
      <c r="J264" s="59"/>
      <c r="K264" s="59"/>
      <c r="L264" s="59"/>
      <c r="M264" s="59"/>
      <c r="N264" s="59"/>
      <c r="O264" s="39"/>
      <c r="P264" s="40"/>
      <c r="Q264" s="39"/>
    </row>
    <row r="265" spans="1:17" ht="12" customHeight="1" x14ac:dyDescent="0.3">
      <c r="A265" s="58" t="str">
        <v/>
      </c>
      <c r="B265" s="186" t="str">
        <v/>
      </c>
      <c r="C265" s="56">
        <v>244</v>
      </c>
      <c r="D265" s="68">
        <v>346</v>
      </c>
      <c r="E265" s="187"/>
      <c r="F265" s="131">
        <f t="shared" si="94"/>
        <v>0</v>
      </c>
      <c r="G265" s="57">
        <f t="shared" si="93"/>
        <v>0</v>
      </c>
      <c r="H265" s="132">
        <f t="shared" si="93"/>
        <v>0</v>
      </c>
      <c r="I265" s="70"/>
      <c r="J265" s="59"/>
      <c r="K265" s="59"/>
      <c r="L265" s="59"/>
      <c r="M265" s="59"/>
      <c r="N265" s="59"/>
      <c r="O265" s="39"/>
      <c r="P265" s="40"/>
      <c r="Q265" s="39"/>
    </row>
    <row r="266" spans="1:17" ht="12" customHeight="1" x14ac:dyDescent="0.3">
      <c r="A266" s="58" t="str">
        <f t="array" ref="A266:A269">IFERROR(INDEX(КБК!E4:E887,SMALL(IF((($D$266=КБК!F4:F887)*($C$266=КБК!G4:G887)*(NOT(ISERR(SEARCH($O$1,КБК!D4:D887))))),ROW(КБК!E4:E887)-3,""),ROW()-$O$266+1)),"")</f>
        <v/>
      </c>
      <c r="B266" s="55" t="str">
        <f t="array" ref="B266:B269">IFERROR(INDEX(КБК!H4:H887,SMALL(IF((($D$266=КБК!F4:F887)*($C$266=КБК!G4:G887)*(NOT(ISERR(SEARCH($O$1,КБК!D4:D887))))),ROW(КБК!E4:E887)-3,""),ROW()-$O$266+1)),"")</f>
        <v/>
      </c>
      <c r="C266" s="56">
        <v>244</v>
      </c>
      <c r="D266" s="68">
        <v>347</v>
      </c>
      <c r="E266" s="157"/>
      <c r="F266" s="131">
        <f>I266+L266</f>
        <v>0</v>
      </c>
      <c r="G266" s="57">
        <f t="shared" ref="G266:H269" si="95">J266+M266</f>
        <v>0</v>
      </c>
      <c r="H266" s="132">
        <f t="shared" si="95"/>
        <v>0</v>
      </c>
      <c r="I266" s="70"/>
      <c r="J266" s="59"/>
      <c r="K266" s="59"/>
      <c r="L266" s="59"/>
      <c r="M266" s="59"/>
      <c r="N266" s="59"/>
      <c r="O266" s="39">
        <f>ROW()</f>
        <v>266</v>
      </c>
      <c r="P266" s="40"/>
      <c r="Q266" s="39"/>
    </row>
    <row r="267" spans="1:17" ht="12" customHeight="1" x14ac:dyDescent="0.3">
      <c r="A267" s="58" t="str">
        <v/>
      </c>
      <c r="B267" s="55" t="str">
        <v/>
      </c>
      <c r="C267" s="56">
        <v>244</v>
      </c>
      <c r="D267" s="68">
        <v>347</v>
      </c>
      <c r="E267" s="157"/>
      <c r="F267" s="131">
        <f>I267+L267</f>
        <v>0</v>
      </c>
      <c r="G267" s="57">
        <f t="shared" si="95"/>
        <v>0</v>
      </c>
      <c r="H267" s="132">
        <f t="shared" si="95"/>
        <v>0</v>
      </c>
      <c r="I267" s="70"/>
      <c r="J267" s="59"/>
      <c r="K267" s="59"/>
      <c r="L267" s="59"/>
      <c r="M267" s="59"/>
      <c r="N267" s="59"/>
      <c r="O267" s="39"/>
      <c r="P267" s="40"/>
      <c r="Q267" s="39"/>
    </row>
    <row r="268" spans="1:17" ht="12" customHeight="1" x14ac:dyDescent="0.3">
      <c r="A268" s="58" t="str">
        <v/>
      </c>
      <c r="B268" s="55" t="str">
        <v/>
      </c>
      <c r="C268" s="56">
        <v>244</v>
      </c>
      <c r="D268" s="68">
        <v>347</v>
      </c>
      <c r="E268" s="157"/>
      <c r="F268" s="131">
        <f>I268+L268</f>
        <v>0</v>
      </c>
      <c r="G268" s="57">
        <f t="shared" si="95"/>
        <v>0</v>
      </c>
      <c r="H268" s="132">
        <f t="shared" si="95"/>
        <v>0</v>
      </c>
      <c r="I268" s="70"/>
      <c r="J268" s="59"/>
      <c r="K268" s="59"/>
      <c r="L268" s="59"/>
      <c r="M268" s="59"/>
      <c r="N268" s="59"/>
      <c r="O268" s="39"/>
      <c r="P268" s="40"/>
      <c r="Q268" s="39"/>
    </row>
    <row r="269" spans="1:17" ht="12" customHeight="1" x14ac:dyDescent="0.3">
      <c r="A269" s="58" t="str">
        <v/>
      </c>
      <c r="B269" s="55" t="str">
        <v/>
      </c>
      <c r="C269" s="56">
        <v>244</v>
      </c>
      <c r="D269" s="68">
        <v>347</v>
      </c>
      <c r="E269" s="157"/>
      <c r="F269" s="131">
        <f>I269+L269</f>
        <v>0</v>
      </c>
      <c r="G269" s="57">
        <f t="shared" si="95"/>
        <v>0</v>
      </c>
      <c r="H269" s="132">
        <f t="shared" si="95"/>
        <v>0</v>
      </c>
      <c r="I269" s="70"/>
      <c r="J269" s="59"/>
      <c r="K269" s="59"/>
      <c r="L269" s="59"/>
      <c r="M269" s="59"/>
      <c r="N269" s="59"/>
      <c r="O269" s="39"/>
      <c r="P269" s="40"/>
      <c r="Q269" s="39"/>
    </row>
    <row r="270" spans="1:17" ht="12" customHeight="1" x14ac:dyDescent="0.3">
      <c r="A270" s="58" t="str">
        <f t="array" ref="A270:A275">IFERROR(INDEX(КБК!E4:E887,SMALL(IF((($D$270=КБК!F4:F887)*($C$270=КБК!G4:G887)*(NOT(ISERR(SEARCH($O$1,КБК!D4:D887))))),ROW(КБК!E4:E887)-3,""),ROW()-$O$270+1)),"")</f>
        <v>доходы 0000000131.244.0</v>
      </c>
      <c r="B270" s="55" t="str">
        <f t="array" ref="B270:B275">IFERROR(INDEX(КБК!H4:H887,SMALL(IF((($D$270=КБК!F4:F887)*($C$270=КБК!G4:G887)*(NOT(ISERR(SEARCH($O$1,КБК!D4:D887))))),ROW(КБК!E4:E887)-3,""),ROW()-$O$270+1)),"")</f>
        <v>1102</v>
      </c>
      <c r="C270" s="56">
        <v>244</v>
      </c>
      <c r="D270" s="68">
        <v>349</v>
      </c>
      <c r="E270" s="187"/>
      <c r="F270" s="131">
        <f t="shared" ref="F270:F275" si="96">I270+L270</f>
        <v>25000</v>
      </c>
      <c r="G270" s="57">
        <f t="shared" ref="G270:H275" si="97">J270+M270</f>
        <v>25000</v>
      </c>
      <c r="H270" s="132">
        <f t="shared" si="97"/>
        <v>25000</v>
      </c>
      <c r="I270" s="70">
        <v>25000</v>
      </c>
      <c r="J270" s="59">
        <v>25000</v>
      </c>
      <c r="K270" s="59">
        <v>25000</v>
      </c>
      <c r="L270" s="59"/>
      <c r="M270" s="59"/>
      <c r="N270" s="59"/>
      <c r="O270" s="39">
        <f>ROW()</f>
        <v>270</v>
      </c>
      <c r="P270" s="40"/>
      <c r="Q270" s="39"/>
    </row>
    <row r="271" spans="1:17" ht="12" customHeight="1" x14ac:dyDescent="0.3">
      <c r="A271" s="58" t="str">
        <v>спорт 1130387590.244.0</v>
      </c>
      <c r="B271" s="55" t="str">
        <v>1102</v>
      </c>
      <c r="C271" s="56">
        <v>244</v>
      </c>
      <c r="D271" s="68">
        <v>349</v>
      </c>
      <c r="E271" s="187"/>
      <c r="F271" s="131">
        <f t="shared" si="96"/>
        <v>81000</v>
      </c>
      <c r="G271" s="57">
        <f t="shared" si="97"/>
        <v>81000</v>
      </c>
      <c r="H271" s="132">
        <f t="shared" si="97"/>
        <v>81000</v>
      </c>
      <c r="I271" s="70">
        <v>81000</v>
      </c>
      <c r="J271" s="59">
        <v>81000</v>
      </c>
      <c r="K271" s="59">
        <v>81000</v>
      </c>
      <c r="L271" s="59"/>
      <c r="M271" s="59"/>
      <c r="N271" s="59"/>
      <c r="O271" s="39"/>
      <c r="P271" s="40"/>
      <c r="Q271" s="39"/>
    </row>
    <row r="272" spans="1:17" ht="12" customHeight="1" x14ac:dyDescent="0.3">
      <c r="A272" s="58" t="str">
        <v/>
      </c>
      <c r="B272" s="55" t="str">
        <v/>
      </c>
      <c r="C272" s="56">
        <v>244</v>
      </c>
      <c r="D272" s="68">
        <v>349</v>
      </c>
      <c r="E272" s="187"/>
      <c r="F272" s="131">
        <f t="shared" si="96"/>
        <v>0</v>
      </c>
      <c r="G272" s="57">
        <f t="shared" si="97"/>
        <v>0</v>
      </c>
      <c r="H272" s="132">
        <f t="shared" si="97"/>
        <v>0</v>
      </c>
      <c r="I272" s="70"/>
      <c r="J272" s="59"/>
      <c r="K272" s="59"/>
      <c r="L272" s="59"/>
      <c r="M272" s="59"/>
      <c r="N272" s="59"/>
      <c r="O272" s="39"/>
      <c r="P272" s="40"/>
      <c r="Q272" s="39"/>
    </row>
    <row r="273" spans="1:17" ht="12" customHeight="1" x14ac:dyDescent="0.3">
      <c r="A273" s="58" t="str">
        <v/>
      </c>
      <c r="B273" s="55" t="str">
        <v/>
      </c>
      <c r="C273" s="56">
        <v>244</v>
      </c>
      <c r="D273" s="68">
        <v>349</v>
      </c>
      <c r="E273" s="187"/>
      <c r="F273" s="131">
        <f t="shared" si="96"/>
        <v>0</v>
      </c>
      <c r="G273" s="57">
        <f t="shared" si="97"/>
        <v>0</v>
      </c>
      <c r="H273" s="132">
        <f t="shared" si="97"/>
        <v>0</v>
      </c>
      <c r="I273" s="70"/>
      <c r="J273" s="59"/>
      <c r="K273" s="59"/>
      <c r="L273" s="59"/>
      <c r="M273" s="59"/>
      <c r="N273" s="59"/>
      <c r="O273" s="39"/>
      <c r="P273" s="40"/>
      <c r="Q273" s="39"/>
    </row>
    <row r="274" spans="1:17" ht="12" customHeight="1" x14ac:dyDescent="0.3">
      <c r="A274" s="58" t="str">
        <v/>
      </c>
      <c r="B274" s="55" t="str">
        <v/>
      </c>
      <c r="C274" s="56">
        <v>244</v>
      </c>
      <c r="D274" s="68">
        <v>349</v>
      </c>
      <c r="E274" s="187"/>
      <c r="F274" s="131">
        <f t="shared" si="96"/>
        <v>0</v>
      </c>
      <c r="G274" s="57">
        <f t="shared" si="97"/>
        <v>0</v>
      </c>
      <c r="H274" s="132">
        <f t="shared" si="97"/>
        <v>0</v>
      </c>
      <c r="I274" s="70"/>
      <c r="J274" s="59"/>
      <c r="K274" s="59"/>
      <c r="L274" s="59"/>
      <c r="M274" s="59"/>
      <c r="N274" s="59"/>
      <c r="O274" s="39"/>
      <c r="P274" s="40"/>
      <c r="Q274" s="39"/>
    </row>
    <row r="275" spans="1:17" ht="12" customHeight="1" x14ac:dyDescent="0.3">
      <c r="A275" s="58" t="str">
        <v/>
      </c>
      <c r="B275" s="55" t="str">
        <v/>
      </c>
      <c r="C275" s="56">
        <v>244</v>
      </c>
      <c r="D275" s="68">
        <v>349</v>
      </c>
      <c r="E275" s="187"/>
      <c r="F275" s="131">
        <f t="shared" si="96"/>
        <v>0</v>
      </c>
      <c r="G275" s="57">
        <f t="shared" si="97"/>
        <v>0</v>
      </c>
      <c r="H275" s="132">
        <f t="shared" si="97"/>
        <v>0</v>
      </c>
      <c r="I275" s="70"/>
      <c r="J275" s="59"/>
      <c r="K275" s="59"/>
      <c r="L275" s="59"/>
      <c r="M275" s="59"/>
      <c r="N275" s="59"/>
      <c r="O275" s="39"/>
      <c r="P275" s="40"/>
      <c r="Q275" s="39"/>
    </row>
    <row r="276" spans="1:17" ht="12" customHeight="1" x14ac:dyDescent="0.3">
      <c r="A276" s="62" t="s">
        <v>338</v>
      </c>
      <c r="B276" s="55" t="s">
        <v>211</v>
      </c>
      <c r="C276" s="56">
        <v>400</v>
      </c>
      <c r="D276" s="68" t="s">
        <v>211</v>
      </c>
      <c r="E276" s="157">
        <v>2650</v>
      </c>
      <c r="F276" s="135">
        <f>F277+F279</f>
        <v>0</v>
      </c>
      <c r="G276" s="57">
        <f t="shared" ref="G276:N276" si="98">G277+G279</f>
        <v>0</v>
      </c>
      <c r="H276" s="136">
        <f t="shared" si="98"/>
        <v>0</v>
      </c>
      <c r="I276" s="72">
        <f t="shared" si="98"/>
        <v>0</v>
      </c>
      <c r="J276" s="57">
        <f t="shared" si="98"/>
        <v>0</v>
      </c>
      <c r="K276" s="57">
        <f t="shared" si="98"/>
        <v>0</v>
      </c>
      <c r="L276" s="57">
        <f t="shared" si="98"/>
        <v>0</v>
      </c>
      <c r="M276" s="57">
        <f t="shared" si="98"/>
        <v>0</v>
      </c>
      <c r="N276" s="57">
        <f t="shared" si="98"/>
        <v>0</v>
      </c>
      <c r="O276" s="39"/>
      <c r="P276" s="40"/>
      <c r="Q276" s="39"/>
    </row>
    <row r="277" spans="1:17" ht="12" customHeight="1" x14ac:dyDescent="0.3">
      <c r="A277" s="63" t="s">
        <v>339</v>
      </c>
      <c r="B277" s="55" t="s">
        <v>211</v>
      </c>
      <c r="C277" s="56">
        <v>406</v>
      </c>
      <c r="D277" s="68" t="s">
        <v>211</v>
      </c>
      <c r="E277" s="157">
        <v>2651</v>
      </c>
      <c r="F277" s="131">
        <f>SUM(F278)</f>
        <v>0</v>
      </c>
      <c r="G277" s="57">
        <f>SUM(G278)</f>
        <v>0</v>
      </c>
      <c r="H277" s="132">
        <f>SUM(H278)</f>
        <v>0</v>
      </c>
      <c r="I277" s="69">
        <f t="shared" ref="I277:N277" si="99">SUM(I278)</f>
        <v>0</v>
      </c>
      <c r="J277" s="57">
        <f t="shared" si="99"/>
        <v>0</v>
      </c>
      <c r="K277" s="57">
        <f t="shared" si="99"/>
        <v>0</v>
      </c>
      <c r="L277" s="57">
        <f t="shared" si="99"/>
        <v>0</v>
      </c>
      <c r="M277" s="57">
        <f t="shared" si="99"/>
        <v>0</v>
      </c>
      <c r="N277" s="57">
        <f t="shared" si="99"/>
        <v>0</v>
      </c>
      <c r="O277" s="77" t="s">
        <v>589</v>
      </c>
      <c r="P277" s="40"/>
      <c r="Q277" s="39"/>
    </row>
    <row r="278" spans="1:17" ht="12" customHeight="1" x14ac:dyDescent="0.3">
      <c r="A278" s="63"/>
      <c r="B278" s="55"/>
      <c r="C278" s="56">
        <v>406</v>
      </c>
      <c r="D278" s="68"/>
      <c r="E278" s="157"/>
      <c r="F278" s="131">
        <f>I278+L278</f>
        <v>0</v>
      </c>
      <c r="G278" s="57">
        <f>J278+M278</f>
        <v>0</v>
      </c>
      <c r="H278" s="132">
        <f>K278+N278</f>
        <v>0</v>
      </c>
      <c r="I278" s="70"/>
      <c r="J278" s="59"/>
      <c r="K278" s="59"/>
      <c r="L278" s="59"/>
      <c r="M278" s="59"/>
      <c r="N278" s="59"/>
      <c r="O278" s="39"/>
      <c r="P278" s="40"/>
      <c r="Q278" s="39"/>
    </row>
    <row r="279" spans="1:17" ht="12" customHeight="1" x14ac:dyDescent="0.3">
      <c r="A279" s="63" t="s">
        <v>340</v>
      </c>
      <c r="B279" s="55" t="s">
        <v>211</v>
      </c>
      <c r="C279" s="56">
        <v>407</v>
      </c>
      <c r="D279" s="68" t="s">
        <v>211</v>
      </c>
      <c r="E279" s="157">
        <v>2652</v>
      </c>
      <c r="F279" s="135">
        <f>SUM(F280:F281)</f>
        <v>0</v>
      </c>
      <c r="G279" s="57">
        <f t="shared" ref="G279:N279" si="100">SUM(G280:G281)</f>
        <v>0</v>
      </c>
      <c r="H279" s="69">
        <f t="shared" si="100"/>
        <v>0</v>
      </c>
      <c r="I279" s="135">
        <f t="shared" si="100"/>
        <v>0</v>
      </c>
      <c r="J279" s="57">
        <f t="shared" si="100"/>
        <v>0</v>
      </c>
      <c r="K279" s="57">
        <f t="shared" si="100"/>
        <v>0</v>
      </c>
      <c r="L279" s="57">
        <f t="shared" si="100"/>
        <v>0</v>
      </c>
      <c r="M279" s="57">
        <f t="shared" si="100"/>
        <v>0</v>
      </c>
      <c r="N279" s="69">
        <f t="shared" si="100"/>
        <v>0</v>
      </c>
      <c r="O279" s="39"/>
      <c r="P279" s="40"/>
      <c r="Q279" s="39"/>
    </row>
    <row r="280" spans="1:17" ht="12" customHeight="1" x14ac:dyDescent="0.3">
      <c r="A280" s="112" t="str">
        <f t="array" ref="A280">IFERROR(INDEX(КБК!E4:E887,SMALL(IF((($D$280=КБК!F4:F887)*($C$280=КБК!G4:G887)*(NOT(ISERR(SEARCH($O$1,КБК!D4:D887))))),ROW(КБК!E4:E887)-3,""),ROW()-$O$280+1)),"")</f>
        <v/>
      </c>
      <c r="B280" s="113" t="str">
        <f t="array" ref="B280">IFERROR(INDEX(КБК!H4:H887,SMALL(IF((($D$280=КБК!F4:F887)*($C$280=КБК!G4:G887)*(NOT(ISERR(SEARCH($O$1,КБК!D4:D887))))),ROW(КБК!E4:E887)-3,""),ROW()-$O$280+1)),"")</f>
        <v/>
      </c>
      <c r="C280" s="114">
        <v>407</v>
      </c>
      <c r="D280" s="117">
        <v>228</v>
      </c>
      <c r="E280" s="158"/>
      <c r="F280" s="133">
        <f t="shared" ref="F280:H281" si="101">I280+L280</f>
        <v>0</v>
      </c>
      <c r="G280" s="73">
        <f t="shared" si="101"/>
        <v>0</v>
      </c>
      <c r="H280" s="134">
        <f t="shared" si="101"/>
        <v>0</v>
      </c>
      <c r="I280" s="116"/>
      <c r="J280" s="74"/>
      <c r="K280" s="74"/>
      <c r="L280" s="74"/>
      <c r="M280" s="74"/>
      <c r="N280" s="74"/>
      <c r="O280" s="39">
        <f>ROW()</f>
        <v>280</v>
      </c>
      <c r="P280" s="40"/>
      <c r="Q280" s="39"/>
    </row>
    <row r="281" spans="1:17" ht="12" customHeight="1" x14ac:dyDescent="0.3">
      <c r="A281" s="112" t="str">
        <f t="array" ref="A281">IFERROR(INDEX(КБК!E4:E887,SMALL(IF((($D$281=КБК!F4:F887)*($C$281=КБК!G4:G887)*(NOT(ISERR(SEARCH($O$1,КБК!D4:D887))))),ROW(КБК!E4:E887)-3,""),ROW()-$O$281+1)),"")</f>
        <v/>
      </c>
      <c r="B281" s="113" t="str">
        <f t="array" ref="B281">IFERROR(INDEX(КБК!H4:H887,SMALL(IF((($D$281=КБК!F4:F887)*($C$281=КБК!G4:G887)*(NOT(ISERR(SEARCH($O$1,КБК!D4:D887))))),ROW(КБК!E4:E887)-3,""),ROW()-$O$281+1)),"")</f>
        <v/>
      </c>
      <c r="C281" s="114">
        <v>407</v>
      </c>
      <c r="D281" s="117">
        <v>310</v>
      </c>
      <c r="E281" s="158"/>
      <c r="F281" s="133">
        <f t="shared" si="101"/>
        <v>0</v>
      </c>
      <c r="G281" s="73">
        <f t="shared" si="101"/>
        <v>0</v>
      </c>
      <c r="H281" s="134">
        <f t="shared" si="101"/>
        <v>0</v>
      </c>
      <c r="I281" s="116"/>
      <c r="J281" s="74"/>
      <c r="K281" s="74"/>
      <c r="L281" s="74"/>
      <c r="M281" s="74"/>
      <c r="N281" s="74"/>
      <c r="O281" s="39">
        <f>ROW()</f>
        <v>281</v>
      </c>
      <c r="P281" s="40"/>
      <c r="Q281" s="39"/>
    </row>
    <row r="282" spans="1:17" ht="12" customHeight="1" x14ac:dyDescent="0.3">
      <c r="A282" s="62" t="s">
        <v>682</v>
      </c>
      <c r="B282" s="55" t="s">
        <v>211</v>
      </c>
      <c r="C282" s="56">
        <v>247</v>
      </c>
      <c r="D282" s="68">
        <v>223</v>
      </c>
      <c r="E282" s="157">
        <v>2660</v>
      </c>
      <c r="F282" s="135">
        <f>SUM(F283:F289)</f>
        <v>11768590</v>
      </c>
      <c r="G282" s="57">
        <f t="shared" ref="G282:N282" si="102">SUM(G283:G289)</f>
        <v>11768590</v>
      </c>
      <c r="H282" s="72">
        <f t="shared" si="102"/>
        <v>11768590</v>
      </c>
      <c r="I282" s="135">
        <f t="shared" si="102"/>
        <v>11768590</v>
      </c>
      <c r="J282" s="57">
        <f t="shared" si="102"/>
        <v>11768590</v>
      </c>
      <c r="K282" s="57">
        <f t="shared" si="102"/>
        <v>11768590</v>
      </c>
      <c r="L282" s="57">
        <f t="shared" si="102"/>
        <v>0</v>
      </c>
      <c r="M282" s="57">
        <f t="shared" si="102"/>
        <v>0</v>
      </c>
      <c r="N282" s="72">
        <f t="shared" si="102"/>
        <v>0</v>
      </c>
      <c r="O282" s="39"/>
      <c r="P282" s="40"/>
      <c r="Q282" s="39"/>
    </row>
    <row r="283" spans="1:17" ht="12" customHeight="1" x14ac:dyDescent="0.3">
      <c r="A283" s="58" t="str">
        <f t="array" ref="A283:A285">IFERROR(INDEX(КБК!E4:E887,SMALL(IF(((2232=КБК!F4:F887)*($C$283=КБК!G4:G887)*(NOT(ISERR(SEARCH($O$1,КБК!D4:D887))))),ROW(КБК!E4:E887)-3,""),ROW()-$O$283+1)),"")</f>
        <v>аренда 0000000121.247.Т</v>
      </c>
      <c r="B283" s="55" t="str">
        <f t="array" ref="B283:B285">IFERROR(INDEX(КБК!H4:H887,SMALL(IF(((2232=КБК!F4:F887)*($C$283=КБК!G4:G887)*(NOT(ISERR(SEARCH($O$1,КБК!D4:D887))))),ROW(КБК!E4:E887)-3,""),ROW()-$O$283+1)),"")</f>
        <v>1102</v>
      </c>
      <c r="C283" s="56">
        <v>247</v>
      </c>
      <c r="D283" s="68">
        <v>223</v>
      </c>
      <c r="E283" s="187"/>
      <c r="F283" s="131">
        <f t="shared" ref="F283:H289" si="103">I283+L283</f>
        <v>0</v>
      </c>
      <c r="G283" s="57">
        <f t="shared" si="103"/>
        <v>0</v>
      </c>
      <c r="H283" s="132">
        <f t="shared" si="103"/>
        <v>0</v>
      </c>
      <c r="I283" s="71"/>
      <c r="J283" s="59"/>
      <c r="K283" s="59"/>
      <c r="L283" s="59"/>
      <c r="M283" s="59"/>
      <c r="N283" s="70"/>
      <c r="O283" s="39">
        <f>ROW()</f>
        <v>283</v>
      </c>
      <c r="P283" s="40"/>
      <c r="Q283" s="39"/>
    </row>
    <row r="284" spans="1:17" ht="12" customHeight="1" x14ac:dyDescent="0.3">
      <c r="A284" s="58" t="str">
        <v>доходы 0000000131.247.Т</v>
      </c>
      <c r="B284" s="55" t="str">
        <v>1102</v>
      </c>
      <c r="C284" s="56">
        <v>247</v>
      </c>
      <c r="D284" s="68">
        <v>223</v>
      </c>
      <c r="E284" s="187"/>
      <c r="F284" s="131">
        <f t="shared" si="103"/>
        <v>0</v>
      </c>
      <c r="G284" s="57">
        <f t="shared" si="103"/>
        <v>0</v>
      </c>
      <c r="H284" s="132">
        <f t="shared" si="103"/>
        <v>0</v>
      </c>
      <c r="I284" s="70"/>
      <c r="J284" s="59"/>
      <c r="K284" s="59"/>
      <c r="L284" s="59"/>
      <c r="M284" s="59"/>
      <c r="N284" s="59"/>
      <c r="O284" s="39"/>
      <c r="P284" s="40"/>
      <c r="Q284" s="39"/>
    </row>
    <row r="285" spans="1:17" ht="12" customHeight="1" x14ac:dyDescent="0.3">
      <c r="A285" s="58" t="str">
        <v>спорт 1130387590.247.Т</v>
      </c>
      <c r="B285" s="55" t="str">
        <v>1102</v>
      </c>
      <c r="C285" s="56">
        <v>247</v>
      </c>
      <c r="D285" s="68">
        <v>223</v>
      </c>
      <c r="E285" s="187"/>
      <c r="F285" s="131">
        <f t="shared" si="103"/>
        <v>0</v>
      </c>
      <c r="G285" s="57">
        <f t="shared" si="103"/>
        <v>0</v>
      </c>
      <c r="H285" s="132">
        <f t="shared" si="103"/>
        <v>0</v>
      </c>
      <c r="I285" s="70"/>
      <c r="J285" s="59"/>
      <c r="K285" s="59"/>
      <c r="L285" s="59"/>
      <c r="M285" s="59"/>
      <c r="N285" s="59"/>
      <c r="O285" s="39"/>
      <c r="P285" s="40"/>
      <c r="Q285" s="39"/>
    </row>
    <row r="286" spans="1:17" ht="12" customHeight="1" x14ac:dyDescent="0.3">
      <c r="A286" s="58" t="str">
        <f t="array" ref="A286:A289">IFERROR(INDEX(КБК!E4:E887,SMALL(IF(((2231=КБК!F4:F887)*($C$286=КБК!G4:G887)*(NOT(ISERR(SEARCH($O$1,КБК!D4:D887))))),ROW(КБК!E4:E887)-3,""),ROW()-$O$286+1)),"")</f>
        <v>аренда 0000000121.247.Э</v>
      </c>
      <c r="B286" s="55" t="str">
        <f t="array" ref="B286:B289">IFERROR(INDEX(КБК!H4:H887,SMALL(IF(((2231=КБК!F4:F887)*($C$286=КБК!G4:G887)*(NOT(ISERR(SEARCH($O$1,КБК!D4:D887))))),ROW(КБК!E4:E887)-3,""),ROW()-$O$286+1)),"")</f>
        <v>1102</v>
      </c>
      <c r="C286" s="56">
        <v>247</v>
      </c>
      <c r="D286" s="68">
        <v>223</v>
      </c>
      <c r="E286" s="157"/>
      <c r="F286" s="131">
        <f t="shared" si="103"/>
        <v>131000</v>
      </c>
      <c r="G286" s="57">
        <f t="shared" si="103"/>
        <v>131000</v>
      </c>
      <c r="H286" s="132">
        <f t="shared" si="103"/>
        <v>131000</v>
      </c>
      <c r="I286" s="70">
        <v>131000</v>
      </c>
      <c r="J286" s="59">
        <v>131000</v>
      </c>
      <c r="K286" s="59">
        <v>131000</v>
      </c>
      <c r="L286" s="59"/>
      <c r="M286" s="59"/>
      <c r="N286" s="59"/>
      <c r="O286" s="39">
        <f>ROW()</f>
        <v>286</v>
      </c>
      <c r="P286" s="40"/>
      <c r="Q286" s="39"/>
    </row>
    <row r="287" spans="1:17" ht="12" customHeight="1" x14ac:dyDescent="0.3">
      <c r="A287" s="58" t="str">
        <v>доходы 0000000131.247.Э</v>
      </c>
      <c r="B287" s="55" t="str">
        <v>1102</v>
      </c>
      <c r="C287" s="56">
        <v>247</v>
      </c>
      <c r="D287" s="68">
        <v>223</v>
      </c>
      <c r="E287" s="157"/>
      <c r="F287" s="131">
        <f t="shared" si="103"/>
        <v>0</v>
      </c>
      <c r="G287" s="57">
        <f t="shared" si="103"/>
        <v>0</v>
      </c>
      <c r="H287" s="132">
        <f t="shared" si="103"/>
        <v>0</v>
      </c>
      <c r="I287" s="70"/>
      <c r="J287" s="59"/>
      <c r="K287" s="59"/>
      <c r="L287" s="59"/>
      <c r="M287" s="59"/>
      <c r="N287" s="59"/>
      <c r="O287" s="39"/>
      <c r="P287" s="40"/>
      <c r="Q287" s="39"/>
    </row>
    <row r="288" spans="1:17" ht="12" customHeight="1" x14ac:dyDescent="0.3">
      <c r="A288" s="58" t="str">
        <v>компенсация 000000135.247.Э</v>
      </c>
      <c r="B288" s="55" t="str">
        <v>1102</v>
      </c>
      <c r="C288" s="56">
        <v>247</v>
      </c>
      <c r="D288" s="68">
        <v>223</v>
      </c>
      <c r="E288" s="157"/>
      <c r="F288" s="131">
        <f t="shared" si="103"/>
        <v>50000</v>
      </c>
      <c r="G288" s="57">
        <f t="shared" si="103"/>
        <v>50000</v>
      </c>
      <c r="H288" s="132">
        <f t="shared" si="103"/>
        <v>50000</v>
      </c>
      <c r="I288" s="70">
        <v>50000</v>
      </c>
      <c r="J288" s="59">
        <v>50000</v>
      </c>
      <c r="K288" s="59">
        <v>50000</v>
      </c>
      <c r="L288" s="59"/>
      <c r="M288" s="59"/>
      <c r="N288" s="59"/>
      <c r="O288" s="39"/>
      <c r="P288" s="40"/>
      <c r="Q288" s="39"/>
    </row>
    <row r="289" spans="1:17" ht="12" customHeight="1" thickBot="1" x14ac:dyDescent="0.35">
      <c r="A289" s="58" t="str">
        <v>спорт 1130387590.247.Э</v>
      </c>
      <c r="B289" s="55" t="str">
        <v>1102</v>
      </c>
      <c r="C289" s="56">
        <v>247</v>
      </c>
      <c r="D289" s="68">
        <v>223</v>
      </c>
      <c r="E289" s="157"/>
      <c r="F289" s="131">
        <f t="shared" si="103"/>
        <v>11587590</v>
      </c>
      <c r="G289" s="57">
        <f t="shared" si="103"/>
        <v>11587590</v>
      </c>
      <c r="H289" s="132">
        <f t="shared" si="103"/>
        <v>11587590</v>
      </c>
      <c r="I289" s="70">
        <v>11587590</v>
      </c>
      <c r="J289" s="59">
        <v>11587590</v>
      </c>
      <c r="K289" s="59">
        <v>11587590</v>
      </c>
      <c r="L289" s="59"/>
      <c r="M289" s="59"/>
      <c r="N289" s="59"/>
      <c r="O289" s="39"/>
      <c r="P289" s="40"/>
      <c r="Q289" s="39"/>
    </row>
    <row r="290" spans="1:17" ht="12" customHeight="1" x14ac:dyDescent="0.3">
      <c r="A290" s="137" t="s">
        <v>722</v>
      </c>
      <c r="B290" s="138" t="s">
        <v>211</v>
      </c>
      <c r="C290" s="138" t="s">
        <v>211</v>
      </c>
      <c r="D290" s="150" t="s">
        <v>211</v>
      </c>
      <c r="E290" s="155">
        <v>3000</v>
      </c>
      <c r="F290" s="139">
        <f t="shared" ref="F290:N290" si="104">F291+F293+F294</f>
        <v>-25000</v>
      </c>
      <c r="G290" s="140">
        <f t="shared" si="104"/>
        <v>0</v>
      </c>
      <c r="H290" s="141">
        <f t="shared" si="104"/>
        <v>0</v>
      </c>
      <c r="I290" s="142">
        <f t="shared" si="104"/>
        <v>0</v>
      </c>
      <c r="J290" s="140">
        <f t="shared" si="104"/>
        <v>0</v>
      </c>
      <c r="K290" s="140">
        <f t="shared" si="104"/>
        <v>0</v>
      </c>
      <c r="L290" s="140">
        <f t="shared" si="104"/>
        <v>-25000</v>
      </c>
      <c r="M290" s="140">
        <f t="shared" si="104"/>
        <v>0</v>
      </c>
      <c r="N290" s="140">
        <f t="shared" si="104"/>
        <v>0</v>
      </c>
      <c r="O290" s="39">
        <f>ROW()</f>
        <v>290</v>
      </c>
      <c r="P290" s="40"/>
      <c r="Q290" s="39"/>
    </row>
    <row r="291" spans="1:17" ht="12" customHeight="1" x14ac:dyDescent="0.3">
      <c r="A291" s="62" t="s">
        <v>723</v>
      </c>
      <c r="B291" s="55" t="s">
        <v>211</v>
      </c>
      <c r="C291" s="55" t="s">
        <v>211</v>
      </c>
      <c r="D291" s="151" t="s">
        <v>211</v>
      </c>
      <c r="E291" s="153">
        <v>3010</v>
      </c>
      <c r="F291" s="135">
        <f>SUM(F292)</f>
        <v>0</v>
      </c>
      <c r="G291" s="57">
        <f t="shared" ref="G291:N291" si="105">SUM(G292)</f>
        <v>0</v>
      </c>
      <c r="H291" s="72">
        <f t="shared" si="105"/>
        <v>0</v>
      </c>
      <c r="I291" s="135">
        <f t="shared" si="105"/>
        <v>0</v>
      </c>
      <c r="J291" s="57">
        <f t="shared" si="105"/>
        <v>0</v>
      </c>
      <c r="K291" s="57">
        <f t="shared" si="105"/>
        <v>0</v>
      </c>
      <c r="L291" s="57">
        <f t="shared" si="105"/>
        <v>0</v>
      </c>
      <c r="M291" s="57">
        <f t="shared" si="105"/>
        <v>0</v>
      </c>
      <c r="N291" s="72">
        <f t="shared" si="105"/>
        <v>0</v>
      </c>
      <c r="O291" s="14" t="s">
        <v>590</v>
      </c>
      <c r="P291" s="40"/>
      <c r="Q291" s="39"/>
    </row>
    <row r="292" spans="1:17" ht="12" customHeight="1" x14ac:dyDescent="0.3">
      <c r="A292" s="58" t="str">
        <f t="array" ref="A292">IFERROR(INDEX(КБК!E4:E887,SMALL(IF((($D$292=КБК!F4:F887)*($C$292=КБК!G4:G887)*(NOT(ISERR(SEARCH($O$1,КБК!D4:D887))))),ROW(КБК!E4:E887)-3,""),ROW()-$O$292+1)),"")</f>
        <v>доходы 0000000131.180.0</v>
      </c>
      <c r="B292" s="55" t="str">
        <f t="array" ref="B292">IFERROR(INDEX(КБК!H4:H887,SMALL(IF((($D$292=КБК!F4:F887)*($C$292=КБК!G4:G887)*(NOT(ISERR(SEARCH($O$1,КБК!D4:D887))))),ROW(КБК!E4:E887)-3,""),ROW()-$O$292+1)),"")</f>
        <v>1102</v>
      </c>
      <c r="C292" s="55">
        <v>180</v>
      </c>
      <c r="D292" s="151">
        <v>189</v>
      </c>
      <c r="E292" s="153"/>
      <c r="F292" s="135">
        <f>I292+L292</f>
        <v>0</v>
      </c>
      <c r="G292" s="57">
        <f t="shared" ref="G292:H292" si="106">J292+M292</f>
        <v>0</v>
      </c>
      <c r="H292" s="132">
        <f t="shared" si="106"/>
        <v>0</v>
      </c>
      <c r="I292" s="71"/>
      <c r="J292" s="59"/>
      <c r="K292" s="71"/>
      <c r="L292" s="59"/>
      <c r="M292" s="59"/>
      <c r="N292" s="59"/>
      <c r="O292" s="14">
        <f>ROW()</f>
        <v>292</v>
      </c>
      <c r="P292" s="40"/>
      <c r="Q292" s="39"/>
    </row>
    <row r="293" spans="1:17" ht="12" customHeight="1" x14ac:dyDescent="0.3">
      <c r="A293" s="62" t="s">
        <v>724</v>
      </c>
      <c r="B293" s="55" t="s">
        <v>211</v>
      </c>
      <c r="C293" s="55" t="s">
        <v>211</v>
      </c>
      <c r="D293" s="151" t="s">
        <v>211</v>
      </c>
      <c r="E293" s="153">
        <v>3020</v>
      </c>
      <c r="F293" s="131">
        <f>I293+L293</f>
        <v>0</v>
      </c>
      <c r="G293" s="57">
        <f>J293+M293</f>
        <v>0</v>
      </c>
      <c r="H293" s="132">
        <f>K293+N293</f>
        <v>0</v>
      </c>
      <c r="I293" s="69"/>
      <c r="J293" s="57"/>
      <c r="K293" s="57"/>
      <c r="L293" s="57"/>
      <c r="M293" s="57"/>
      <c r="N293" s="57"/>
      <c r="O293" s="14" t="s">
        <v>590</v>
      </c>
      <c r="P293" s="33"/>
    </row>
    <row r="294" spans="1:17" ht="12" customHeight="1" x14ac:dyDescent="0.3">
      <c r="A294" s="62" t="s">
        <v>725</v>
      </c>
      <c r="B294" s="55" t="s">
        <v>211</v>
      </c>
      <c r="C294" s="55" t="s">
        <v>211</v>
      </c>
      <c r="D294" s="151" t="s">
        <v>211</v>
      </c>
      <c r="E294" s="153">
        <v>3030</v>
      </c>
      <c r="F294" s="135">
        <f>SUM(F295)</f>
        <v>-25000</v>
      </c>
      <c r="G294" s="57">
        <f t="shared" ref="G294:N294" si="107">SUM(G295)</f>
        <v>0</v>
      </c>
      <c r="H294" s="69">
        <f t="shared" si="107"/>
        <v>0</v>
      </c>
      <c r="I294" s="135">
        <f t="shared" si="107"/>
        <v>0</v>
      </c>
      <c r="J294" s="57">
        <f t="shared" si="107"/>
        <v>0</v>
      </c>
      <c r="K294" s="57">
        <f t="shared" si="107"/>
        <v>0</v>
      </c>
      <c r="L294" s="57">
        <f t="shared" si="107"/>
        <v>-25000</v>
      </c>
      <c r="M294" s="57">
        <f t="shared" si="107"/>
        <v>0</v>
      </c>
      <c r="N294" s="69">
        <f t="shared" si="107"/>
        <v>0</v>
      </c>
      <c r="O294" s="14" t="s">
        <v>590</v>
      </c>
      <c r="P294" s="33"/>
    </row>
    <row r="295" spans="1:17" ht="12" customHeight="1" x14ac:dyDescent="0.3">
      <c r="A295" s="58" t="str">
        <f t="array" ref="A295">IFERROR(INDEX(КБК!E4:E887,SMALL(IF((($D$295=КБК!F4:F887)*($C$295=КБК!G4:G887)*(NOT(ISERR(SEARCH($O$1,КБК!D4:D887))))),ROW(КБК!E4:E887)-3,""),ROW()-$O$295+1)),"")</f>
        <v>доходы 0000000131.180.0</v>
      </c>
      <c r="B295" s="55" t="str">
        <f t="array" ref="B295">IFERROR(INDEX(КБК!H4:H887,SMALL(IF((($D$295=КБК!F4:F887)*($C$295=КБК!G4:G887)*(NOT(ISERR(SEARCH($O$1,КБК!D4:D887))))),ROW(КБК!E4:E887)-3,""),ROW()-$O$295+1)),"")</f>
        <v>1102</v>
      </c>
      <c r="C295" s="55">
        <v>180</v>
      </c>
      <c r="D295" s="151">
        <v>189</v>
      </c>
      <c r="E295" s="153"/>
      <c r="F295" s="135">
        <f>I295+L295</f>
        <v>-25000</v>
      </c>
      <c r="G295" s="57">
        <f t="shared" ref="G295:H295" si="108">J295+M295</f>
        <v>0</v>
      </c>
      <c r="H295" s="132">
        <f t="shared" si="108"/>
        <v>0</v>
      </c>
      <c r="I295" s="70"/>
      <c r="J295" s="70"/>
      <c r="K295" s="70"/>
      <c r="L295" s="70">
        <v>-25000</v>
      </c>
      <c r="M295" s="70"/>
      <c r="N295" s="59"/>
      <c r="O295" s="14">
        <f>ROW()</f>
        <v>295</v>
      </c>
      <c r="P295" s="33"/>
    </row>
    <row r="296" spans="1:17" ht="12" customHeight="1" x14ac:dyDescent="0.3">
      <c r="A296" s="60" t="s">
        <v>341</v>
      </c>
      <c r="B296" s="55" t="s">
        <v>211</v>
      </c>
      <c r="C296" s="56" t="s">
        <v>211</v>
      </c>
      <c r="D296" s="66" t="s">
        <v>211</v>
      </c>
      <c r="E296" s="153">
        <v>4000</v>
      </c>
      <c r="F296" s="131">
        <f t="shared" ref="F296:N296" si="109">F297</f>
        <v>0</v>
      </c>
      <c r="G296" s="57">
        <f t="shared" si="109"/>
        <v>0</v>
      </c>
      <c r="H296" s="132">
        <f t="shared" si="109"/>
        <v>0</v>
      </c>
      <c r="I296" s="69">
        <f t="shared" si="109"/>
        <v>0</v>
      </c>
      <c r="J296" s="69">
        <f t="shared" si="109"/>
        <v>0</v>
      </c>
      <c r="K296" s="69">
        <f t="shared" si="109"/>
        <v>0</v>
      </c>
      <c r="L296" s="69">
        <f t="shared" si="109"/>
        <v>0</v>
      </c>
      <c r="M296" s="69">
        <f t="shared" si="109"/>
        <v>0</v>
      </c>
      <c r="N296" s="57">
        <f t="shared" si="109"/>
        <v>0</v>
      </c>
      <c r="O296" s="14"/>
      <c r="P296" s="33"/>
    </row>
    <row r="297" spans="1:17" ht="12" customHeight="1" x14ac:dyDescent="0.3">
      <c r="A297" s="63" t="s">
        <v>342</v>
      </c>
      <c r="B297" s="55" t="s">
        <v>211</v>
      </c>
      <c r="C297" s="64">
        <v>610</v>
      </c>
      <c r="D297" s="66">
        <v>610</v>
      </c>
      <c r="E297" s="153">
        <v>4010</v>
      </c>
      <c r="F297" s="131">
        <f t="shared" ref="F297:N297" si="110">SUM(F298:F299)</f>
        <v>0</v>
      </c>
      <c r="G297" s="57">
        <f t="shared" si="110"/>
        <v>0</v>
      </c>
      <c r="H297" s="132">
        <f t="shared" si="110"/>
        <v>0</v>
      </c>
      <c r="I297" s="69">
        <f t="shared" si="110"/>
        <v>0</v>
      </c>
      <c r="J297" s="69">
        <f t="shared" si="110"/>
        <v>0</v>
      </c>
      <c r="K297" s="69">
        <f t="shared" si="110"/>
        <v>0</v>
      </c>
      <c r="L297" s="69">
        <f t="shared" si="110"/>
        <v>0</v>
      </c>
      <c r="M297" s="69">
        <f t="shared" si="110"/>
        <v>0</v>
      </c>
      <c r="N297" s="69">
        <f t="shared" si="110"/>
        <v>0</v>
      </c>
      <c r="O297" s="14">
        <f>ROW()</f>
        <v>297</v>
      </c>
      <c r="P297" s="33"/>
    </row>
    <row r="298" spans="1:17" ht="12" customHeight="1" x14ac:dyDescent="0.3">
      <c r="A298" s="58" t="str">
        <f t="array" ref="A298:A299">IFERROR(INDEX(КБК!E4:E887,SMALL(IF((($D$297=КБК!F4:F887)*($C$297=КБК!G4:G887)*(NOT(ISERR(SEARCH($O$1,КБК!D4:D887))))),ROW(КБК!E4:E887)-КБК!A4+1,""),ROW()-$O$297)),"")</f>
        <v>спорт 1130387590.610.0</v>
      </c>
      <c r="B298" s="55" t="str">
        <f t="array" ref="B298:B299">IFERROR(INDEX(КБК!H4:H887,SMALL(IF((($D$297=КБК!F4:F887)*($C$297=КБК!G4:G887)*(NOT(ISERR(SEARCH($O$1,КБК!D4:D887))))),ROW(КБК!E4:E887)-3,""),ROW()-$O$297)),"")</f>
        <v>1102</v>
      </c>
      <c r="C298" s="64">
        <v>610</v>
      </c>
      <c r="D298" s="66">
        <v>610</v>
      </c>
      <c r="E298" s="153"/>
      <c r="F298" s="133">
        <f t="shared" ref="F298:H299" si="111">I298+L298</f>
        <v>0</v>
      </c>
      <c r="G298" s="73">
        <f t="shared" si="111"/>
        <v>0</v>
      </c>
      <c r="H298" s="134">
        <f t="shared" si="111"/>
        <v>0</v>
      </c>
      <c r="I298" s="70"/>
      <c r="J298" s="59"/>
      <c r="K298" s="59"/>
      <c r="L298" s="70"/>
      <c r="M298" s="70"/>
      <c r="N298" s="59"/>
      <c r="O298" s="14"/>
      <c r="P298" s="33"/>
    </row>
    <row r="299" spans="1:17" ht="12" customHeight="1" thickBot="1" x14ac:dyDescent="0.35">
      <c r="A299" s="58" t="str">
        <v/>
      </c>
      <c r="B299" s="55" t="str">
        <v/>
      </c>
      <c r="C299" s="64">
        <v>610</v>
      </c>
      <c r="D299" s="66">
        <v>610</v>
      </c>
      <c r="E299" s="153"/>
      <c r="F299" s="161">
        <f t="shared" si="111"/>
        <v>0</v>
      </c>
      <c r="G299" s="162">
        <f t="shared" si="111"/>
        <v>0</v>
      </c>
      <c r="H299" s="163">
        <f t="shared" si="111"/>
        <v>0</v>
      </c>
      <c r="I299" s="70"/>
      <c r="J299" s="59"/>
      <c r="K299" s="59"/>
      <c r="L299" s="70"/>
      <c r="M299" s="70"/>
      <c r="N299" s="59"/>
      <c r="O299" s="14"/>
      <c r="P299" s="33"/>
    </row>
    <row r="300" spans="1:17" ht="12" customHeight="1" x14ac:dyDescent="0.3">
      <c r="A300" s="351" t="str">
        <f>O2</f>
        <v/>
      </c>
      <c r="B300" s="352"/>
      <c r="C300" s="352"/>
      <c r="D300" s="352"/>
      <c r="E300" s="352"/>
      <c r="F300" s="352"/>
      <c r="G300" s="352"/>
      <c r="N300" s="16"/>
      <c r="O300" s="14"/>
      <c r="P300" s="33"/>
    </row>
    <row r="301" spans="1:17" ht="12" customHeight="1" x14ac:dyDescent="0.3">
      <c r="A301" s="352"/>
      <c r="B301" s="352"/>
      <c r="C301" s="352"/>
      <c r="D301" s="352"/>
      <c r="E301" s="352"/>
      <c r="F301" s="352"/>
      <c r="G301" s="352"/>
      <c r="H301" s="355" t="str">
        <f>IFERROR(INDEX(УЧРЕЖДЕНИЯ!$L$14:$L$53,MATCH(ТИТУЛ!$CO$20,УЧРЕЖДЕНИЯ!$C$14:$C$53,0)),"")</f>
        <v>Главный бухгалтер</v>
      </c>
      <c r="I301" s="380"/>
      <c r="J301" s="377" t="str">
        <f>IF(OR(O2="НЕ ВЕРНО",O3="НЕ ЗАПОЛНЕНО"),"НЕТ ПОДПИСИ","")</f>
        <v/>
      </c>
      <c r="K301" s="378"/>
      <c r="L301" s="389" t="str">
        <f>IFERROR(INDEX(УЧРЕЖДЕНИЯ!$M$14:$M$53,MATCH(ТИТУЛ!$CO$20,УЧРЕЖДЕНИЯ!$C$14:$C$53,0)),"")</f>
        <v>Артемьева Елизавета Михайловна</v>
      </c>
      <c r="M301" s="390"/>
      <c r="N301" s="390"/>
      <c r="O301" s="14"/>
      <c r="P301" s="33"/>
    </row>
    <row r="302" spans="1:17" ht="12" customHeight="1" x14ac:dyDescent="0.3">
      <c r="A302" s="353" t="str">
        <f>O3</f>
        <v/>
      </c>
      <c r="B302" s="352"/>
      <c r="C302" s="352"/>
      <c r="D302" s="352"/>
      <c r="E302" s="352"/>
      <c r="F302" s="352"/>
      <c r="G302" s="352"/>
      <c r="H302" s="381"/>
      <c r="I302" s="381"/>
      <c r="J302" s="379"/>
      <c r="K302" s="379"/>
      <c r="L302" s="390"/>
      <c r="M302" s="390"/>
      <c r="N302" s="390"/>
      <c r="O302" s="14"/>
      <c r="P302" s="33"/>
    </row>
    <row r="303" spans="1:17" ht="12" customHeight="1" x14ac:dyDescent="0.3">
      <c r="A303" s="352"/>
      <c r="B303" s="352"/>
      <c r="C303" s="352"/>
      <c r="D303" s="352"/>
      <c r="E303" s="352"/>
      <c r="F303" s="352"/>
      <c r="G303" s="352"/>
      <c r="H303" s="349"/>
      <c r="I303" s="354"/>
      <c r="J303" s="375" t="s">
        <v>148</v>
      </c>
      <c r="K303" s="375"/>
      <c r="L303" s="46"/>
      <c r="M303" s="45"/>
      <c r="N303" s="45"/>
      <c r="O303" s="14"/>
      <c r="P303" s="33"/>
    </row>
    <row r="304" spans="1:17" ht="12" customHeight="1" x14ac:dyDescent="0.3">
      <c r="A304" s="401" t="str">
        <f>IF(L304="","НЕ УКАЗАН ИСПОЛНИТЕЛЬ","")</f>
        <v/>
      </c>
      <c r="B304" s="401"/>
      <c r="C304" s="401"/>
      <c r="D304" s="401"/>
      <c r="E304" s="401"/>
      <c r="F304" s="352"/>
      <c r="G304" s="352"/>
      <c r="H304" s="355" t="s">
        <v>344</v>
      </c>
      <c r="I304" s="356"/>
      <c r="J304" s="357" t="str">
        <f>IF(L304="","НЕТ ПОДПИСИ","")</f>
        <v/>
      </c>
      <c r="K304" s="358"/>
      <c r="L304" s="391" t="s">
        <v>776</v>
      </c>
      <c r="M304" s="392"/>
      <c r="N304" s="392"/>
      <c r="O304" s="14"/>
      <c r="P304" s="33"/>
    </row>
    <row r="305" spans="1:16" ht="12" customHeight="1" x14ac:dyDescent="0.3">
      <c r="A305" s="401"/>
      <c r="B305" s="401"/>
      <c r="C305" s="401"/>
      <c r="D305" s="401"/>
      <c r="E305" s="401"/>
      <c r="F305" s="352"/>
      <c r="G305" s="352"/>
      <c r="H305" s="356"/>
      <c r="I305" s="356"/>
      <c r="J305" s="358"/>
      <c r="K305" s="358"/>
      <c r="L305" s="392"/>
      <c r="M305" s="392"/>
      <c r="N305" s="392"/>
      <c r="O305" s="14"/>
      <c r="P305" s="33"/>
    </row>
    <row r="306" spans="1:16" ht="12" customHeight="1" x14ac:dyDescent="0.3">
      <c r="A306" s="401"/>
      <c r="B306" s="401"/>
      <c r="C306" s="401"/>
      <c r="D306" s="401"/>
      <c r="E306" s="401"/>
      <c r="F306" s="352"/>
      <c r="G306" s="352"/>
      <c r="H306" s="201"/>
      <c r="I306" s="201"/>
      <c r="J306" s="376" t="s">
        <v>148</v>
      </c>
      <c r="K306" s="376"/>
      <c r="L306" s="349" t="s">
        <v>345</v>
      </c>
      <c r="M306" s="350"/>
      <c r="N306" s="350"/>
      <c r="O306" s="14"/>
      <c r="P306" s="33"/>
    </row>
    <row r="307" spans="1:16" ht="12" customHeight="1" x14ac:dyDescent="0.3">
      <c r="A307" s="223"/>
      <c r="B307" s="223"/>
      <c r="C307" s="223"/>
      <c r="D307" s="223"/>
      <c r="E307" s="223"/>
      <c r="F307" s="224"/>
      <c r="G307" s="224"/>
      <c r="H307" s="225"/>
      <c r="I307" s="225"/>
      <c r="J307" s="23"/>
      <c r="K307" s="23"/>
      <c r="L307" s="23"/>
      <c r="M307" s="23"/>
      <c r="N307" s="23"/>
      <c r="O307" s="14"/>
      <c r="P307" s="33"/>
    </row>
    <row r="308" spans="1:16" ht="12" customHeight="1" x14ac:dyDescent="0.3">
      <c r="A308" s="223"/>
      <c r="B308" s="223"/>
      <c r="C308" s="223"/>
      <c r="D308" s="223"/>
      <c r="E308" s="223"/>
      <c r="F308" s="224"/>
      <c r="G308" s="224"/>
      <c r="H308" s="47"/>
      <c r="I308" s="226"/>
      <c r="J308" s="227"/>
      <c r="K308" s="227"/>
      <c r="L308" s="227"/>
      <c r="M308" s="227"/>
      <c r="N308" s="225"/>
    </row>
    <row r="309" spans="1:16" ht="12" customHeight="1" x14ac:dyDescent="0.3">
      <c r="A309" s="223"/>
      <c r="B309" s="223"/>
      <c r="C309" s="223"/>
      <c r="D309" s="223"/>
      <c r="E309" s="223"/>
      <c r="F309" s="224"/>
      <c r="G309" s="224"/>
      <c r="H309" s="228"/>
      <c r="I309" s="229"/>
      <c r="J309" s="219"/>
      <c r="K309" s="220"/>
      <c r="L309" s="230"/>
      <c r="M309" s="231"/>
      <c r="N309" s="231"/>
    </row>
    <row r="310" spans="1:16" ht="12" customHeight="1" x14ac:dyDescent="0.3">
      <c r="A310" s="232"/>
      <c r="B310" s="233"/>
      <c r="C310" s="233"/>
      <c r="D310" s="234"/>
      <c r="E310" s="233"/>
      <c r="F310" s="233"/>
      <c r="G310" s="233"/>
      <c r="H310" s="229"/>
      <c r="I310" s="229"/>
      <c r="J310" s="220"/>
      <c r="K310" s="220"/>
      <c r="L310" s="231"/>
      <c r="M310" s="231"/>
      <c r="N310" s="231"/>
    </row>
    <row r="311" spans="1:16" ht="12" customHeight="1" x14ac:dyDescent="0.3">
      <c r="A311" s="235"/>
      <c r="B311" s="233"/>
      <c r="C311" s="233"/>
      <c r="D311" s="234"/>
      <c r="E311" s="233"/>
      <c r="F311" s="233"/>
      <c r="G311" s="233"/>
      <c r="H311" s="236"/>
      <c r="I311" s="236"/>
      <c r="J311" s="221"/>
      <c r="K311" s="222"/>
      <c r="L311" s="23"/>
      <c r="M311" s="23"/>
      <c r="N311" s="23"/>
    </row>
    <row r="312" spans="1:16" ht="12" customHeight="1" x14ac:dyDescent="0.3">
      <c r="A312" s="26"/>
      <c r="B312" s="27"/>
      <c r="C312" s="28"/>
      <c r="D312" s="188"/>
      <c r="E312" s="28"/>
      <c r="F312" s="28"/>
      <c r="G312" s="28"/>
      <c r="H312" s="28"/>
      <c r="I312" s="28"/>
      <c r="J312" s="28"/>
      <c r="K312" s="28"/>
      <c r="L312" s="28"/>
      <c r="M312" s="28"/>
    </row>
    <row r="313" spans="1:16" ht="12" customHeight="1" x14ac:dyDescent="0.3">
      <c r="A313" s="26"/>
      <c r="B313" s="27"/>
      <c r="C313" s="28"/>
      <c r="D313" s="188"/>
      <c r="E313" s="28"/>
      <c r="F313" s="28"/>
      <c r="G313" s="28"/>
      <c r="H313" s="28"/>
      <c r="I313" s="28"/>
      <c r="J313" s="29"/>
      <c r="K313" s="28"/>
      <c r="L313" s="28"/>
      <c r="M313" s="28"/>
    </row>
    <row r="314" spans="1:16" ht="12" customHeight="1" x14ac:dyDescent="0.3">
      <c r="A314" s="30"/>
      <c r="B314" s="28"/>
      <c r="C314" s="28"/>
      <c r="D314" s="188"/>
      <c r="E314" s="28"/>
      <c r="F314" s="28"/>
      <c r="G314" s="28"/>
      <c r="H314" s="28"/>
      <c r="I314" s="28"/>
      <c r="J314" s="28"/>
      <c r="K314" s="28"/>
      <c r="L314" s="28"/>
      <c r="M314" s="28"/>
    </row>
    <row r="315" spans="1:16" ht="12" customHeight="1" x14ac:dyDescent="0.3">
      <c r="A315" s="30"/>
      <c r="B315" s="28"/>
      <c r="C315" s="28"/>
      <c r="D315" s="188"/>
      <c r="E315" s="28"/>
      <c r="F315" s="28"/>
      <c r="G315" s="28"/>
      <c r="H315" s="28"/>
      <c r="I315" s="28"/>
      <c r="J315" s="28"/>
      <c r="K315" s="28"/>
      <c r="L315" s="28"/>
      <c r="M315" s="28"/>
    </row>
    <row r="316" spans="1:16" ht="12" customHeight="1" x14ac:dyDescent="0.3">
      <c r="A316" s="30"/>
      <c r="B316" s="28"/>
      <c r="C316" s="28"/>
      <c r="D316" s="188"/>
      <c r="E316" s="28"/>
      <c r="F316" s="28"/>
      <c r="G316" s="28"/>
      <c r="H316" s="28"/>
      <c r="I316" s="28"/>
      <c r="J316" s="28"/>
      <c r="K316" s="28"/>
      <c r="L316" s="28"/>
      <c r="M316" s="28"/>
    </row>
    <row r="317" spans="1:16" ht="12" customHeight="1" x14ac:dyDescent="0.3">
      <c r="A317" s="30"/>
      <c r="B317" s="28"/>
      <c r="C317" s="28"/>
      <c r="D317" s="188"/>
      <c r="E317" s="28"/>
      <c r="F317" s="28"/>
      <c r="G317" s="28"/>
      <c r="H317" s="28"/>
      <c r="I317" s="28"/>
      <c r="J317" s="28"/>
      <c r="K317" s="28"/>
      <c r="L317" s="28"/>
      <c r="M317" s="28"/>
    </row>
    <row r="318" spans="1:16" ht="12" customHeight="1" x14ac:dyDescent="0.3">
      <c r="A318" s="30"/>
      <c r="B318" s="28"/>
      <c r="C318" s="28"/>
      <c r="D318" s="188"/>
      <c r="E318" s="28"/>
      <c r="F318" s="28"/>
      <c r="G318" s="28"/>
      <c r="H318" s="28"/>
      <c r="I318" s="28"/>
      <c r="J318" s="28"/>
      <c r="K318" s="28"/>
      <c r="L318" s="28"/>
      <c r="M318" s="28"/>
    </row>
    <row r="319" spans="1:16" ht="12" customHeight="1" x14ac:dyDescent="0.3">
      <c r="A319" s="30"/>
      <c r="B319" s="28"/>
      <c r="C319" s="28"/>
      <c r="D319" s="188"/>
      <c r="E319" s="28"/>
      <c r="F319" s="28"/>
      <c r="G319" s="28"/>
      <c r="H319" s="28"/>
      <c r="I319" s="28"/>
      <c r="J319" s="28"/>
      <c r="K319" s="28"/>
      <c r="L319" s="28"/>
      <c r="M319" s="28"/>
    </row>
    <row r="320" spans="1:16" ht="12" customHeight="1" x14ac:dyDescent="0.3">
      <c r="A320" s="30"/>
      <c r="B320" s="28"/>
      <c r="C320" s="28"/>
      <c r="D320" s="188"/>
      <c r="E320" s="28"/>
      <c r="F320" s="28"/>
      <c r="G320" s="28"/>
      <c r="H320" s="28"/>
      <c r="I320" s="28"/>
      <c r="J320" s="28"/>
      <c r="K320" s="28"/>
      <c r="L320" s="28"/>
      <c r="M320" s="28"/>
    </row>
    <row r="321" spans="1:13" ht="12" customHeight="1" x14ac:dyDescent="0.3">
      <c r="A321" s="30"/>
      <c r="B321" s="28"/>
      <c r="C321" s="28"/>
      <c r="D321" s="188"/>
      <c r="E321" s="28"/>
      <c r="F321" s="28"/>
      <c r="G321" s="28"/>
      <c r="H321" s="28"/>
      <c r="I321" s="28"/>
      <c r="J321" s="28"/>
      <c r="K321" s="28"/>
      <c r="L321" s="28"/>
      <c r="M321" s="28"/>
    </row>
    <row r="322" spans="1:13" ht="12" customHeight="1" x14ac:dyDescent="0.3">
      <c r="A322" s="30"/>
      <c r="B322" s="28"/>
      <c r="C322" s="28"/>
      <c r="D322" s="188"/>
      <c r="E322" s="28"/>
      <c r="F322" s="28"/>
      <c r="G322" s="28"/>
      <c r="H322" s="28"/>
      <c r="I322" s="28"/>
      <c r="J322" s="28"/>
      <c r="K322" s="28"/>
      <c r="L322" s="28"/>
      <c r="M322" s="28"/>
    </row>
    <row r="323" spans="1:13" ht="12" customHeight="1" x14ac:dyDescent="0.3">
      <c r="A323" s="30"/>
      <c r="B323" s="28"/>
      <c r="C323" s="28"/>
      <c r="D323" s="188"/>
      <c r="E323" s="28"/>
      <c r="F323" s="28"/>
      <c r="G323" s="28"/>
      <c r="H323" s="28"/>
      <c r="I323" s="28"/>
      <c r="J323" s="28"/>
      <c r="K323" s="28"/>
      <c r="L323" s="28"/>
      <c r="M323" s="28"/>
    </row>
    <row r="324" spans="1:13" ht="12" customHeight="1" x14ac:dyDescent="0.3">
      <c r="A324" s="30"/>
      <c r="B324" s="28"/>
      <c r="C324" s="28"/>
      <c r="D324" s="188"/>
      <c r="E324" s="28"/>
      <c r="F324" s="28"/>
      <c r="G324" s="28"/>
      <c r="H324" s="28"/>
      <c r="I324" s="28"/>
      <c r="J324" s="28"/>
      <c r="K324" s="28"/>
      <c r="L324" s="28"/>
      <c r="M324" s="28"/>
    </row>
    <row r="325" spans="1:13" ht="12" customHeight="1" x14ac:dyDescent="0.3">
      <c r="A325" s="30"/>
      <c r="B325" s="28"/>
      <c r="C325" s="28"/>
      <c r="D325" s="188"/>
      <c r="E325" s="28"/>
      <c r="F325" s="28"/>
      <c r="G325" s="28"/>
      <c r="H325" s="28"/>
      <c r="I325" s="28"/>
      <c r="J325" s="28"/>
      <c r="K325" s="28"/>
      <c r="L325" s="28"/>
      <c r="M325" s="28"/>
    </row>
    <row r="326" spans="1:13" ht="12" customHeight="1" x14ac:dyDescent="0.3">
      <c r="A326" s="30"/>
      <c r="B326" s="28"/>
      <c r="C326" s="28"/>
      <c r="D326" s="188"/>
      <c r="E326" s="28"/>
      <c r="F326" s="28"/>
      <c r="G326" s="28"/>
      <c r="H326" s="28"/>
      <c r="I326" s="28"/>
      <c r="J326" s="28"/>
      <c r="K326" s="28"/>
      <c r="L326" s="28"/>
      <c r="M326" s="28"/>
    </row>
    <row r="327" spans="1:13" ht="12" customHeight="1" x14ac:dyDescent="0.3">
      <c r="A327" s="30"/>
      <c r="B327" s="28"/>
      <c r="C327" s="28"/>
      <c r="D327" s="188"/>
      <c r="E327" s="28"/>
      <c r="F327" s="28"/>
      <c r="G327" s="28"/>
      <c r="H327" s="28"/>
      <c r="I327" s="28"/>
      <c r="J327" s="28"/>
      <c r="K327" s="28"/>
      <c r="L327" s="28"/>
      <c r="M327" s="28"/>
    </row>
    <row r="328" spans="1:13" ht="12" customHeight="1" x14ac:dyDescent="0.3">
      <c r="A328" s="30"/>
      <c r="B328" s="28"/>
      <c r="C328" s="28"/>
      <c r="D328" s="188"/>
      <c r="E328" s="28"/>
      <c r="F328" s="28"/>
      <c r="G328" s="28"/>
      <c r="H328" s="28"/>
      <c r="I328" s="28"/>
      <c r="J328" s="28"/>
      <c r="K328" s="28"/>
      <c r="L328" s="28"/>
      <c r="M328" s="28"/>
    </row>
    <row r="329" spans="1:13" ht="12" customHeight="1" x14ac:dyDescent="0.3">
      <c r="A329" s="30"/>
      <c r="B329" s="28"/>
      <c r="C329" s="28"/>
      <c r="D329" s="188"/>
      <c r="E329" s="28"/>
      <c r="F329" s="28"/>
      <c r="G329" s="28"/>
      <c r="H329" s="28"/>
      <c r="I329" s="28"/>
      <c r="J329" s="28"/>
      <c r="K329" s="28"/>
      <c r="L329" s="28"/>
      <c r="M329" s="28"/>
    </row>
    <row r="330" spans="1:13" ht="12" customHeight="1" x14ac:dyDescent="0.3">
      <c r="A330" s="30"/>
      <c r="B330" s="28"/>
      <c r="C330" s="28"/>
      <c r="D330" s="188"/>
      <c r="E330" s="28"/>
      <c r="F330" s="28"/>
      <c r="G330" s="28"/>
      <c r="H330" s="28"/>
      <c r="I330" s="28"/>
      <c r="J330" s="28"/>
      <c r="K330" s="28"/>
      <c r="L330" s="28"/>
      <c r="M330" s="28"/>
    </row>
    <row r="331" spans="1:13" ht="12" customHeight="1" x14ac:dyDescent="0.3">
      <c r="A331" s="30"/>
      <c r="B331" s="28"/>
      <c r="C331" s="28"/>
      <c r="D331" s="188"/>
      <c r="E331" s="28"/>
      <c r="F331" s="28"/>
      <c r="G331" s="28"/>
      <c r="H331" s="28"/>
      <c r="I331" s="28"/>
      <c r="J331" s="28"/>
      <c r="K331" s="28"/>
      <c r="L331" s="28"/>
      <c r="M331" s="28"/>
    </row>
    <row r="332" spans="1:13" ht="12" customHeight="1" x14ac:dyDescent="0.3">
      <c r="A332" s="30"/>
      <c r="B332" s="28"/>
      <c r="C332" s="28"/>
      <c r="D332" s="188"/>
      <c r="E332" s="28"/>
      <c r="F332" s="28"/>
      <c r="G332" s="28"/>
      <c r="H332" s="28"/>
      <c r="I332" s="28"/>
      <c r="J332" s="28"/>
      <c r="K332" s="28"/>
      <c r="L332" s="28"/>
      <c r="M332" s="28"/>
    </row>
    <row r="333" spans="1:13" ht="12" customHeight="1" x14ac:dyDescent="0.3">
      <c r="A333" s="30"/>
      <c r="B333" s="28"/>
      <c r="C333" s="28"/>
      <c r="D333" s="188"/>
      <c r="E333" s="28"/>
      <c r="F333" s="28"/>
      <c r="G333" s="28"/>
      <c r="H333" s="28"/>
      <c r="I333" s="28"/>
      <c r="J333" s="28"/>
      <c r="K333" s="28"/>
      <c r="L333" s="28"/>
      <c r="M333" s="28"/>
    </row>
    <row r="334" spans="1:13" ht="12" customHeight="1" x14ac:dyDescent="0.3">
      <c r="A334" s="30"/>
      <c r="B334" s="28"/>
      <c r="C334" s="28"/>
      <c r="D334" s="188"/>
      <c r="E334" s="28"/>
      <c r="F334" s="28"/>
      <c r="G334" s="28"/>
      <c r="H334" s="28"/>
      <c r="I334" s="28"/>
      <c r="J334" s="28"/>
      <c r="K334" s="28"/>
      <c r="L334" s="28"/>
      <c r="M334" s="28"/>
    </row>
    <row r="335" spans="1:13" ht="12" customHeight="1" x14ac:dyDescent="0.3">
      <c r="A335" s="30"/>
      <c r="B335" s="28"/>
      <c r="C335" s="28"/>
      <c r="D335" s="188"/>
      <c r="E335" s="28"/>
      <c r="F335" s="28"/>
      <c r="G335" s="28"/>
      <c r="H335" s="28"/>
      <c r="I335" s="28"/>
      <c r="J335" s="28"/>
      <c r="K335" s="28"/>
      <c r="L335" s="28"/>
      <c r="M335" s="28"/>
    </row>
    <row r="336" spans="1:13" ht="12" customHeight="1" x14ac:dyDescent="0.3">
      <c r="A336" s="30"/>
      <c r="B336" s="28"/>
      <c r="C336" s="28"/>
      <c r="D336" s="188"/>
      <c r="E336" s="28"/>
      <c r="F336" s="28"/>
      <c r="G336" s="28"/>
      <c r="H336" s="28"/>
      <c r="I336" s="28"/>
      <c r="J336" s="28"/>
      <c r="K336" s="28"/>
      <c r="L336" s="28"/>
      <c r="M336" s="28"/>
    </row>
    <row r="337" spans="1:13" ht="12" customHeight="1" x14ac:dyDescent="0.3">
      <c r="A337" s="30"/>
      <c r="B337" s="28"/>
      <c r="C337" s="28"/>
      <c r="D337" s="188"/>
      <c r="E337" s="28"/>
      <c r="F337" s="28"/>
      <c r="G337" s="28"/>
      <c r="H337" s="28"/>
      <c r="I337" s="28"/>
      <c r="J337" s="28"/>
      <c r="K337" s="28"/>
      <c r="L337" s="28"/>
      <c r="M337" s="28"/>
    </row>
  </sheetData>
  <sheetProtection password="E80F" sheet="1" objects="1" scenarios="1" formatCells="0" formatColumns="0" formatRows="0" insertColumns="0" insertRows="0" insertHyperlinks="0" deleteColumns="0" deleteRows="0" sort="0" autoFilter="0" pivotTables="0"/>
  <dataConsolidate/>
  <mergeCells count="32">
    <mergeCell ref="A1:N1"/>
    <mergeCell ref="K4:K5"/>
    <mergeCell ref="J303:K303"/>
    <mergeCell ref="J306:K306"/>
    <mergeCell ref="J301:K302"/>
    <mergeCell ref="H301:I302"/>
    <mergeCell ref="A2:A5"/>
    <mergeCell ref="I4:I5"/>
    <mergeCell ref="F4:F5"/>
    <mergeCell ref="H4:H5"/>
    <mergeCell ref="L301:N302"/>
    <mergeCell ref="L304:N305"/>
    <mergeCell ref="F2:H3"/>
    <mergeCell ref="I2:K3"/>
    <mergeCell ref="L2:N3"/>
    <mergeCell ref="A304:G306"/>
    <mergeCell ref="L4:L5"/>
    <mergeCell ref="M4:M5"/>
    <mergeCell ref="N4:N5"/>
    <mergeCell ref="G4:G5"/>
    <mergeCell ref="J4:J5"/>
    <mergeCell ref="E2:E5"/>
    <mergeCell ref="B2:D3"/>
    <mergeCell ref="B4:B5"/>
    <mergeCell ref="C4:C5"/>
    <mergeCell ref="D4:D5"/>
    <mergeCell ref="L306:N306"/>
    <mergeCell ref="A300:G301"/>
    <mergeCell ref="A302:G303"/>
    <mergeCell ref="H303:I303"/>
    <mergeCell ref="H304:I305"/>
    <mergeCell ref="J304:K305"/>
  </mergeCells>
  <phoneticPr fontId="9" type="noConversion"/>
  <dataValidations count="25">
    <dataValidation type="custom" allowBlank="1" showInputMessage="1" showErrorMessage="1" sqref="I7:I18 I77:I89 I57:I60 I27:I42 I298:I299 I62:I63 I23:I24 I20 I67:I73 I280:I281 I166:I174 I283:I289 I91:I97 I99:I100 I103:I112 I114:I115 I119:I121 I123 I125 I127 J67:K68 I156:I161 I130:I132 I134:I136 I164 I278 I148:I153 I45:I55 I139:I146 I176:I275">
      <formula1>AND((INDEX($A$6:$A$299,MATCH(A7,$A$6:$A$299,0)))&lt;&gt;"",I7&gt;0)</formula1>
    </dataValidation>
    <dataValidation type="custom" allowBlank="1" showInputMessage="1" showErrorMessage="1" sqref="J7:J18 J77:J89 J57:J60 J27:J42 J298:J299 J62:J63 J23:J24 J20 J278 J280:J281 J166:J174 J283:J289 J91:J97 J99:J100 J103:J112 J114:J115 J119:J121 J123 J125 J127 J69:J73 J156:J161 J130:J132 J134:J136 J164 J148:J153 J45:J55 J139:J146 J176:J275">
      <formula1>AND((INDEX($A$6:$A$299,MATCH(A7,$A$6:$A$299,0)))&lt;&gt;"",J7&gt;0)</formula1>
    </dataValidation>
    <dataValidation type="custom" allowBlank="1" showInputMessage="1" showErrorMessage="1" sqref="K7:K18 K77:K89 K57:K60 K27:K42 K298:K299 K62:K63 K23:K24 K20 K278 K280:K281 K166:K174 K283:K289 K91:K97 K99:K100 K103:K112 K114:K115 K119:K121 K123 K125 K127 K69:K73 K156:K161 K130:K132 K134:K136 K164 K148:K153 K45:K55 K139:K146 K176:K275">
      <formula1>AND((INDEX($A$6:$A$299,MATCH(A7,$A$6:$A$299,0)))&lt;&gt;"",K7&gt;0)</formula1>
    </dataValidation>
    <dataValidation type="custom" allowBlank="1" showInputMessage="1" showErrorMessage="1" sqref="I293">
      <formula1>AND((INDEX($A$6:$A$299,MATCH(A293,$A$6:$A$299,0)))&lt;&gt;"",I293&lt;0)</formula1>
    </dataValidation>
    <dataValidation type="custom" allowBlank="1" showInputMessage="1" showErrorMessage="1" sqref="J293">
      <formula1>AND((INDEX($A$6:$A$299,MATCH(A293,$A$6:$A$299,0)))&lt;&gt;"",J293&lt;0)</formula1>
    </dataValidation>
    <dataValidation type="custom" allowBlank="1" showInputMessage="1" showErrorMessage="1" sqref="K293">
      <formula1>AND((INDEX($A$6:$A$299,MATCH(A293,$A$6:$A$299,0)))&lt;&gt;"",K293&lt;0)</formula1>
    </dataValidation>
    <dataValidation type="custom" allowBlank="1" showInputMessage="1" showErrorMessage="1" sqref="I138">
      <formula1>AND((INDEX($A$6:$A$299,MATCH(A139,$A$6:$A$299,0)))&lt;&gt;"",I138&gt;0)</formula1>
    </dataValidation>
    <dataValidation type="custom" allowBlank="1" showInputMessage="1" showErrorMessage="1" sqref="J138">
      <formula1>AND((INDEX($A$6:$A$299,MATCH(A139,$A$6:$A$299,0)))&lt;&gt;"",J138&gt;0)</formula1>
    </dataValidation>
    <dataValidation type="custom" allowBlank="1" showInputMessage="1" showErrorMessage="1" sqref="K138">
      <formula1>AND((INDEX($A$6:$A$299,MATCH(A139,$A$6:$A$299,0)))&lt;&gt;"",K138&gt;0)</formula1>
    </dataValidation>
    <dataValidation type="custom" showInputMessage="1" showErrorMessage="1" sqref="L176:L275 L77:L89 L57:L60 L27:L42 L125 L123 L283:L289 L91:L97 L99:L100 L103:L112 L114:L115 L7:L18 L20 L23:L24 L67:L73 L280:L281 L278 L119:L121 L127 L156:L161 L130:L132 L134:L136 L62:L63 L164 L166:L174 L148:L153 L45:L55 L138:L146 L298:L299">
      <formula1>AND((INDEX($A$6:$A$299,MATCH(A7,$A$6:$A$299,0)))&lt;&gt;"",I7+L7&gt;=0)</formula1>
    </dataValidation>
    <dataValidation type="custom" allowBlank="1" showInputMessage="1" showErrorMessage="1" sqref="F67:F73">
      <formula1>AND((INDEX($A$6:$A$299,MATCH(A67,$A$6:$A$299,0)))&lt;&gt;"",F67&gt;0)</formula1>
    </dataValidation>
    <dataValidation type="custom" allowBlank="1" showInputMessage="1" showErrorMessage="1" sqref="G67:G73">
      <formula1>AND((INDEX($A$6:$A$299,MATCH(A67,$A$6:$A$299,0)))&lt;&gt;"",G67&gt;0)</formula1>
    </dataValidation>
    <dataValidation type="custom" allowBlank="1" showInputMessage="1" showErrorMessage="1" sqref="H67:H73">
      <formula1>AND((INDEX($A$6:$A$299,MATCH(A67,$A$6:$A$299,0)))&lt;&gt;"",H67&gt;0)</formula1>
    </dataValidation>
    <dataValidation type="custom" showInputMessage="1" showErrorMessage="1" sqref="M7:M18 M77:M89 M57:M60 M27:M42 M23:M24 M20 M280:M281 M67:M73 M283:M289 M91:M97 M99:M100 M103:M112 M114:M115 M119:M121 M123 M125 M127 M156:M161 M130:M132 M134:M136 M62:M63 M164 M166:M174 M176:M275 M278 M148:M153 M45:M55 M138:M146 M298:M299">
      <formula1>AND((INDEX($A$6:$A$299,MATCH(A7,$A$6:$A$299,0)))&lt;&gt;"",J7+M7&gt;=0)</formula1>
    </dataValidation>
    <dataValidation type="custom" showInputMessage="1" showErrorMessage="1" sqref="N7:N18 N77:N89 N57:N60 N27:N42 N23:N24 N20 N280:N281 N67:N73 N283:N289 N91:N97 N99:N100 N103:N112 N119:N121 N123 N125 N127 N156:N161 N130:N132 N134:N136 N62:N63 N164 N166:N174 N176:N275 N278 N148:N153 N45:N55 N138:N146 N298:N299">
      <formula1>AND((INDEX($A$6:$A$299,MATCH(A7,$A$6:$A$299,0)))&lt;&gt;"",K7+N7&gt;=0)</formula1>
    </dataValidation>
    <dataValidation type="custom" showInputMessage="1" showErrorMessage="1" sqref="L293">
      <formula1>AND((INDEX($A$6:$A$299,MATCH(A293,$A$6:$A$299,0)))&lt;&gt;"",I293+L293&lt;=0)</formula1>
    </dataValidation>
    <dataValidation type="custom" showInputMessage="1" showErrorMessage="1" sqref="M293 M295">
      <formula1>AND((INDEX($A$6:$A$299,MATCH(A293,$A$6:$A$299,0)))&lt;&gt;"",J293+M293&lt;=0)</formula1>
    </dataValidation>
    <dataValidation type="custom" showInputMessage="1" showErrorMessage="1" sqref="N293 N295">
      <formula1>AND((INDEX($A$6:$A$299,MATCH(A293,$A$6:$A$299,0)))&lt;&gt;"",K293+N293&lt;=0)</formula1>
    </dataValidation>
    <dataValidation type="custom" showInputMessage="1" showErrorMessage="1" sqref="N114:N115">
      <formula1>AND((INDEX($A$6:$A$299,MATCH(A113,$A$6:$A$299,0)))&lt;&gt;"",K113+N114&gt;=0)</formula1>
    </dataValidation>
    <dataValidation type="custom" showInputMessage="1" showErrorMessage="1" sqref="I292 I295">
      <formula1>AND((INDEX($A$6:$A$299,MATCH(A292,$A$6:$A$299,0)))&lt;&gt;"",I292&lt;0)</formula1>
    </dataValidation>
    <dataValidation type="custom" showInputMessage="1" showErrorMessage="1" sqref="J292 J295">
      <formula1>AND((INDEX($A$6:$A$299,MATCH(A292,$A$6:$A$299,0)))&lt;&gt;"",J292&lt;0)</formula1>
    </dataValidation>
    <dataValidation type="custom" showInputMessage="1" showErrorMessage="1" sqref="K292 K295">
      <formula1>AND((INDEX($A$6:$A$299,MATCH(A292,$A$6:$A$299,0)))&lt;&gt;"",K292&lt;0)</formula1>
    </dataValidation>
    <dataValidation type="custom" showInputMessage="1" showErrorMessage="1" sqref="L292 L295">
      <formula1>AND((INDEX($A$6:$A$299,MATCH(A292,$A$6:$A$299,0)))&lt;&gt;"",I292+L292&lt;=0)</formula1>
    </dataValidation>
    <dataValidation type="custom" showInputMessage="1" showErrorMessage="1" sqref="M292">
      <formula1>AND((INDEX($A$6:$A$299,MATCH(A292,$A$6:$A$299,0)))&lt;&gt;"",J292+M292&lt;=0)</formula1>
    </dataValidation>
    <dataValidation type="custom" showInputMessage="1" showErrorMessage="1" sqref="N292">
      <formula1>AND((INDEX($A$6:$A$299,MATCH(A292,$A$6:$A$299,0)))&lt;&gt;"",K292+N292&lt;=0)</formula1>
    </dataValidation>
  </dataValidations>
  <printOptions horizontalCentered="1"/>
  <pageMargins left="0.39370078740157483" right="0.39370078740157483" top="0.39370078740157483" bottom="0.39370078740157483" header="0" footer="0"/>
  <pageSetup paperSize="9" scale="91" firstPageNumber="2" fitToHeight="0" orientation="landscape" useFirstPageNumber="1" r:id="rId1"/>
  <headerFooter>
    <oddFooter>&amp;L&amp;T &amp;D&amp;Cверсия 210324&amp;R&amp;P из 12</oddFooter>
  </headerFooter>
  <rowBreaks count="7" manualBreakCount="7">
    <brk id="42" max="13" man="1"/>
    <brk id="89" max="13" man="1"/>
    <brk id="125" max="13" man="1"/>
    <brk id="161" max="13" man="1"/>
    <brk id="203" max="13" man="1"/>
    <brk id="241" max="13" man="1"/>
    <brk id="281" max="1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>
    <tabColor rgb="FF00B050"/>
  </sheetPr>
  <dimension ref="A1:L46"/>
  <sheetViews>
    <sheetView showZeros="0" view="pageBreakPreview" zoomScaleNormal="100" zoomScaleSheetLayoutView="100" workbookViewId="0">
      <pane xSplit="3" ySplit="4" topLeftCell="D26" activePane="bottomRight" state="frozen"/>
      <selection pane="topRight" activeCell="D1" sqref="D1"/>
      <selection pane="bottomLeft" activeCell="A5" sqref="A5"/>
      <selection pane="bottomRight" activeCell="F17" sqref="F17"/>
    </sheetView>
  </sheetViews>
  <sheetFormatPr defaultColWidth="9.109375" defaultRowHeight="13.2" x14ac:dyDescent="0.25"/>
  <cols>
    <col min="1" max="1" width="5.6640625" style="87" customWidth="1"/>
    <col min="2" max="2" width="68.33203125" style="87" customWidth="1"/>
    <col min="3" max="3" width="6.88671875" style="92" customWidth="1"/>
    <col min="4" max="4" width="7.109375" style="92" customWidth="1"/>
    <col min="5" max="5" width="10.6640625" style="92" bestFit="1" customWidth="1"/>
    <col min="6" max="6" width="15.5546875" style="88" customWidth="1"/>
    <col min="7" max="8" width="12.88671875" style="88" customWidth="1"/>
    <col min="9" max="9" width="9.5546875" style="88" customWidth="1"/>
    <col min="10" max="10" width="8.44140625" style="87" customWidth="1"/>
    <col min="11" max="12" width="10.33203125" style="87" bestFit="1" customWidth="1"/>
    <col min="13" max="16384" width="9.109375" style="87"/>
  </cols>
  <sheetData>
    <row r="1" spans="1:12" x14ac:dyDescent="0.25">
      <c r="A1" s="417" t="s">
        <v>323</v>
      </c>
      <c r="B1" s="417"/>
      <c r="C1" s="417"/>
      <c r="D1" s="417"/>
      <c r="E1" s="417"/>
      <c r="F1" s="417"/>
      <c r="G1" s="417"/>
      <c r="H1" s="417"/>
      <c r="I1" s="417"/>
    </row>
    <row r="2" spans="1:12" x14ac:dyDescent="0.25">
      <c r="A2" s="418" t="s">
        <v>620</v>
      </c>
      <c r="B2" s="419" t="s">
        <v>0</v>
      </c>
      <c r="C2" s="419" t="s">
        <v>621</v>
      </c>
      <c r="D2" s="419" t="s">
        <v>622</v>
      </c>
      <c r="E2" s="419" t="s">
        <v>599</v>
      </c>
      <c r="F2" s="418" t="s">
        <v>733</v>
      </c>
      <c r="G2" s="418"/>
      <c r="H2" s="418"/>
      <c r="I2" s="418"/>
    </row>
    <row r="3" spans="1:12" ht="52.8" x14ac:dyDescent="0.25">
      <c r="A3" s="418"/>
      <c r="B3" s="419"/>
      <c r="C3" s="419"/>
      <c r="D3" s="419"/>
      <c r="E3" s="419"/>
      <c r="F3" s="164" t="str">
        <f>CONCATENATE(ТИТУЛ!$DF$10," Г.")</f>
        <v>2021 Г.</v>
      </c>
      <c r="G3" s="164" t="str">
        <f>CONCATENATE(ТИТУЛ!$DF$10+1," Г.")</f>
        <v>2022 Г.</v>
      </c>
      <c r="H3" s="164" t="str">
        <f>CONCATENATE(ТИТУЛ!$DF$10+2," Г.")</f>
        <v>2023 Г.</v>
      </c>
      <c r="I3" s="164" t="s">
        <v>283</v>
      </c>
    </row>
    <row r="4" spans="1:12" x14ac:dyDescent="0.25">
      <c r="A4" s="165">
        <v>1</v>
      </c>
      <c r="B4" s="166" t="s">
        <v>324</v>
      </c>
      <c r="C4" s="167">
        <v>26000</v>
      </c>
      <c r="D4" s="168" t="s">
        <v>211</v>
      </c>
      <c r="E4" s="168"/>
      <c r="F4" s="169">
        <f>F5+F6+F7+F13</f>
        <v>117617459.16</v>
      </c>
      <c r="G4" s="169">
        <f>G5+G6+G7+G13</f>
        <v>25140280</v>
      </c>
      <c r="H4" s="169">
        <f>H5+H6+H7+H13</f>
        <v>25140280</v>
      </c>
      <c r="I4" s="169">
        <f>I5+I6+I7+I13</f>
        <v>0</v>
      </c>
      <c r="J4" s="97">
        <f>(LEN(A4)-1)*2</f>
        <v>0</v>
      </c>
    </row>
    <row r="5" spans="1:12" x14ac:dyDescent="0.25">
      <c r="A5" s="165" t="s">
        <v>206</v>
      </c>
      <c r="B5" s="166" t="s">
        <v>627</v>
      </c>
      <c r="C5" s="168">
        <v>26100</v>
      </c>
      <c r="D5" s="168">
        <f>ТИТУЛ!$DF$10-1</f>
        <v>2020</v>
      </c>
      <c r="E5" s="168"/>
      <c r="F5" s="170"/>
      <c r="G5" s="170"/>
      <c r="H5" s="170"/>
      <c r="I5" s="170"/>
      <c r="J5" s="97"/>
    </row>
    <row r="6" spans="1:12" x14ac:dyDescent="0.25">
      <c r="A6" s="165" t="s">
        <v>207</v>
      </c>
      <c r="B6" s="166" t="s">
        <v>628</v>
      </c>
      <c r="C6" s="168">
        <v>26200</v>
      </c>
      <c r="D6" s="168">
        <f>ТИТУЛ!$DF$10</f>
        <v>2021</v>
      </c>
      <c r="E6" s="168"/>
      <c r="F6" s="170"/>
      <c r="G6" s="170"/>
      <c r="H6" s="170"/>
      <c r="I6" s="170"/>
    </row>
    <row r="7" spans="1:12" x14ac:dyDescent="0.25">
      <c r="A7" s="165" t="s">
        <v>208</v>
      </c>
      <c r="B7" s="166" t="s">
        <v>325</v>
      </c>
      <c r="C7" s="167">
        <v>26300</v>
      </c>
      <c r="D7" s="168">
        <f>ТИТУЛ!$DF$10-1</f>
        <v>2020</v>
      </c>
      <c r="E7" s="168"/>
      <c r="F7" s="169">
        <f>F8+F12</f>
        <v>42204831.43</v>
      </c>
      <c r="G7" s="169">
        <f>G8+G12</f>
        <v>0</v>
      </c>
      <c r="H7" s="169">
        <f>H8+H12</f>
        <v>0</v>
      </c>
      <c r="I7" s="169">
        <f>I8+I12</f>
        <v>0</v>
      </c>
    </row>
    <row r="8" spans="1:12" x14ac:dyDescent="0.25">
      <c r="A8" s="165" t="s">
        <v>593</v>
      </c>
      <c r="B8" s="166" t="s">
        <v>613</v>
      </c>
      <c r="C8" s="168">
        <v>26310</v>
      </c>
      <c r="D8" s="168">
        <f>ТИТУЛ!$DF$10-1</f>
        <v>2020</v>
      </c>
      <c r="E8" s="168"/>
      <c r="F8" s="170"/>
      <c r="G8" s="170"/>
      <c r="H8" s="170"/>
      <c r="I8" s="170"/>
      <c r="J8" s="87">
        <f>ROW()</f>
        <v>8</v>
      </c>
      <c r="K8" s="93" t="s">
        <v>649</v>
      </c>
    </row>
    <row r="9" spans="1:12" x14ac:dyDescent="0.25">
      <c r="A9" s="165"/>
      <c r="B9" s="171" t="str">
        <f t="array" ref="B9">IFERROR(LEFT(J9,MIN(IF(ISNUMBER(-MID(J9,ROW($1:$46),1)),ROW($1:$46)))-2),"")</f>
        <v/>
      </c>
      <c r="C9" s="168" t="s">
        <v>596</v>
      </c>
      <c r="D9" s="168">
        <f>ТИТУЛ!$DF$10-1</f>
        <v>2020</v>
      </c>
      <c r="E9" s="172" t="str">
        <f t="array" aca="1" ref="E9" ca="1">IFERROR(MID(J9,MATCH(TRUE,ISNUMBER(MID(J9,ROW(INDIRECT("1:"&amp;LEN(J9))),1)*1),0),10),"")</f>
        <v/>
      </c>
      <c r="F9" s="193">
        <f>SUMIF(ПОКАЗАТЕЛИ!A74:A299,(CONCATENATE(LEFT(J9,LEN(J9)-5),"244.0")),ПОКАЗАТЕЛИ!F74:F299)</f>
        <v>0</v>
      </c>
      <c r="G9" s="193">
        <f>SUMIF(ПОКАЗАТЕЛИ!A74:A299,(CONCATENATE(LEFT(J9,LEN(J9)-5),"244.0")),ПОКАЗАТЕЛИ!G74:G299)</f>
        <v>0</v>
      </c>
      <c r="H9" s="193">
        <f>SUMIF(ПОКАЗАТЕЛИ!A74:A299,(CONCATENATE(LEFT(J9,LEN(J9)-5),"244.0")),ПОКАЗАТЕЛИ!H74:H299)</f>
        <v>0</v>
      </c>
      <c r="I9" s="173">
        <v>0</v>
      </c>
      <c r="J9" s="242" t="str">
        <f t="array" ref="J9:J11">IF(INDEX(УЧРЕЖДЕНИЯ!A14:M53,MATCH(ТИТУЛ!CO20,УЧРЕЖДЕНИЯ!$C$14:$C$53,0),9)="БУ",IFERROR(INDEX(КБК!E828:E887,SMALL(IF((((510=КБК!F828:F887))*("Ф"=КБК!I828:I887)*(NOT(ISERR(SEARCH(ПОКАЗАТЕЛИ!$O$1,КБК!D828:D887))))),ROW(КБК!E828:E887)-КБК!A828+1,""),ROW()-$J$8)),""),"")</f>
        <v/>
      </c>
      <c r="K9" s="94" t="str">
        <f t="array" ref="K9:K28">IFERROR(INDEX(КБК!E828:E887,SMALL(IF((((152=КБК!F828:F887)+(162=КБК!F828:F887)+(510=КБК!F828:F887))*("Ф"=КБК!I828:I887)*(NOT(ISERR(SEARCH(ПОКАЗАТЕЛИ!$O$1,КБК!D828:D887))))),ROW(КБК!E828:E887)-КБК!A828+1,""),ROW()-$J$8)),"")</f>
        <v>комфорт 777F254240.510.0</v>
      </c>
    </row>
    <row r="10" spans="1:12" x14ac:dyDescent="0.25">
      <c r="A10" s="165"/>
      <c r="B10" s="171" t="str">
        <f t="array" ref="B10">IFERROR(LEFT(J10,MIN(IF(ISNUMBER(-MID(J10,ROW($1:$46),1)),ROW($1:$46)))-2),"")</f>
        <v/>
      </c>
      <c r="C10" s="168" t="s">
        <v>610</v>
      </c>
      <c r="D10" s="168">
        <f>ТИТУЛ!$DF$10-1</f>
        <v>2020</v>
      </c>
      <c r="E10" s="172" t="str">
        <f t="array" aca="1" ref="E10" ca="1">IFERROR(MID(J10,MATCH(TRUE,ISNUMBER(MID(J10,ROW(INDIRECT("1:"&amp;LEN(J10))),1)*1),0),10),"")</f>
        <v/>
      </c>
      <c r="F10" s="193">
        <f>SUMIF(ПОКАЗАТЕЛИ!A74:A299,(CONCATENATE(LEFT(J10,LEN(J10)-5),"244.0")),ПОКАЗАТЕЛИ!F74:F299)</f>
        <v>0</v>
      </c>
      <c r="G10" s="193">
        <f>SUMIF(ПОКАЗАТЕЛИ!A74:A299,(CONCATENATE(LEFT(J10,LEN(J10)-5),"244.0")),ПОКАЗАТЕЛИ!G74:G299)</f>
        <v>0</v>
      </c>
      <c r="H10" s="193">
        <f>SUMIF(ПОКАЗАТЕЛИ!A74:A299,(CONCATENATE(LEFT(J10,LEN(J10)-5),"244.0")),ПОКАЗАТЕЛИ!H74:H299)</f>
        <v>0</v>
      </c>
      <c r="I10" s="173">
        <v>0</v>
      </c>
      <c r="J10" s="242" t="str">
        <v/>
      </c>
      <c r="K10" s="95" t="str">
        <v/>
      </c>
      <c r="L10" s="90"/>
    </row>
    <row r="11" spans="1:12" x14ac:dyDescent="0.25">
      <c r="A11" s="165"/>
      <c r="B11" s="171" t="str">
        <f t="array" ref="B11">IFERROR(LEFT(J11,MIN(IF(ISNUMBER(-MID(J11,ROW($1:$46),1)),ROW($1:$46)))-2),"")</f>
        <v/>
      </c>
      <c r="C11" s="168" t="s">
        <v>623</v>
      </c>
      <c r="D11" s="168">
        <f>ТИТУЛ!$DF$10-1</f>
        <v>2020</v>
      </c>
      <c r="E11" s="172" t="str">
        <f t="array" aca="1" ref="E11" ca="1">IFERROR(MID(J11,MATCH(TRUE,ISNUMBER(MID(J11,ROW(INDIRECT("1:"&amp;LEN(J11))),1)*1),0),10),"")</f>
        <v/>
      </c>
      <c r="F11" s="193">
        <f>SUMIF(ПОКАЗАТЕЛИ!A74:A299,(CONCATENATE(LEFT(J11,LEN(J11)-5),"244.0")),ПОКАЗАТЕЛИ!F74:F299)</f>
        <v>0</v>
      </c>
      <c r="G11" s="193">
        <f>SUMIF(ПОКАЗАТЕЛИ!A74:A299,(CONCATENATE(LEFT(J11,LEN(J11)-5),"244.0")),ПОКАЗАТЕЛИ!G74:G299)</f>
        <v>0</v>
      </c>
      <c r="H11" s="193">
        <f>SUMIF(ПОКАЗАТЕЛИ!A74:A299,(CONCATENATE(LEFT(J11,LEN(J11)-5),"244.0")),ПОКАЗАТЕЛИ!H74:H299)</f>
        <v>0</v>
      </c>
      <c r="I11" s="173">
        <v>0</v>
      </c>
      <c r="J11" s="242" t="str">
        <v/>
      </c>
      <c r="K11" s="95" t="str">
        <v/>
      </c>
    </row>
    <row r="12" spans="1:12" x14ac:dyDescent="0.25">
      <c r="A12" s="165" t="s">
        <v>594</v>
      </c>
      <c r="B12" s="166" t="s">
        <v>595</v>
      </c>
      <c r="C12" s="168">
        <v>26320</v>
      </c>
      <c r="D12" s="168">
        <f>ТИТУЛ!$DF$10-1</f>
        <v>2020</v>
      </c>
      <c r="E12" s="168"/>
      <c r="F12" s="170">
        <v>42204831.43</v>
      </c>
      <c r="G12" s="170"/>
      <c r="H12" s="170"/>
      <c r="I12" s="170"/>
      <c r="K12" s="95" t="str">
        <v/>
      </c>
    </row>
    <row r="13" spans="1:12" x14ac:dyDescent="0.25">
      <c r="A13" s="165" t="s">
        <v>284</v>
      </c>
      <c r="B13" s="166" t="s">
        <v>326</v>
      </c>
      <c r="C13" s="167">
        <v>26400</v>
      </c>
      <c r="D13" s="168">
        <f>ТИТУЛ!$DF$10</f>
        <v>2021</v>
      </c>
      <c r="E13" s="168"/>
      <c r="F13" s="169">
        <f>F14+F17+F27+F23</f>
        <v>75412627.730000004</v>
      </c>
      <c r="G13" s="169">
        <f>G14+G17+G27+G23</f>
        <v>25140280</v>
      </c>
      <c r="H13" s="169">
        <f>H14+H17+H27+H23</f>
        <v>25140280</v>
      </c>
      <c r="I13" s="169">
        <f>I14+I17+I27+I23</f>
        <v>0</v>
      </c>
      <c r="K13" s="95" t="str">
        <v/>
      </c>
    </row>
    <row r="14" spans="1:12" x14ac:dyDescent="0.25">
      <c r="A14" s="165" t="s">
        <v>285</v>
      </c>
      <c r="B14" s="166" t="s">
        <v>327</v>
      </c>
      <c r="C14" s="167">
        <v>26410</v>
      </c>
      <c r="D14" s="168">
        <f>ТИТУЛ!$DF$10</f>
        <v>2021</v>
      </c>
      <c r="E14" s="168"/>
      <c r="F14" s="169">
        <f>F15+F16</f>
        <v>25191259.16</v>
      </c>
      <c r="G14" s="169">
        <f>G15+G16</f>
        <v>25140280</v>
      </c>
      <c r="H14" s="169">
        <f>H15+H16</f>
        <v>25140280</v>
      </c>
      <c r="I14" s="169">
        <f>I15+I16</f>
        <v>0</v>
      </c>
      <c r="K14" s="95" t="str">
        <v/>
      </c>
    </row>
    <row r="15" spans="1:12" x14ac:dyDescent="0.25">
      <c r="A15" s="165" t="s">
        <v>286</v>
      </c>
      <c r="B15" s="174" t="s">
        <v>629</v>
      </c>
      <c r="C15" s="168">
        <v>26411</v>
      </c>
      <c r="D15" s="168">
        <f>ТИТУЛ!$DF$10</f>
        <v>2021</v>
      </c>
      <c r="E15" s="168"/>
      <c r="F15" s="170"/>
      <c r="G15" s="170"/>
      <c r="H15" s="170"/>
      <c r="I15" s="170"/>
      <c r="K15" s="95" t="str">
        <v/>
      </c>
    </row>
    <row r="16" spans="1:12" x14ac:dyDescent="0.25">
      <c r="A16" s="165" t="s">
        <v>287</v>
      </c>
      <c r="B16" s="174" t="s">
        <v>595</v>
      </c>
      <c r="C16" s="168">
        <v>26412</v>
      </c>
      <c r="D16" s="168">
        <f>ТИТУЛ!$DF$10</f>
        <v>2021</v>
      </c>
      <c r="E16" s="168"/>
      <c r="F16" s="170">
        <v>25191259.16</v>
      </c>
      <c r="G16" s="170">
        <v>25140280</v>
      </c>
      <c r="H16" s="170">
        <v>25140280</v>
      </c>
      <c r="I16" s="170"/>
      <c r="K16" s="95" t="str">
        <v/>
      </c>
    </row>
    <row r="17" spans="1:11" x14ac:dyDescent="0.25">
      <c r="A17" s="165" t="s">
        <v>288</v>
      </c>
      <c r="B17" s="166" t="s">
        <v>328</v>
      </c>
      <c r="C17" s="167">
        <v>26420</v>
      </c>
      <c r="D17" s="168">
        <f>ТИТУЛ!$DF$10</f>
        <v>2021</v>
      </c>
      <c r="E17" s="168">
        <f>E18+E22</f>
        <v>0</v>
      </c>
      <c r="F17" s="169">
        <f t="shared" ref="F17:I17" si="0">F18+F22</f>
        <v>50221368.57</v>
      </c>
      <c r="G17" s="169">
        <f t="shared" si="0"/>
        <v>0</v>
      </c>
      <c r="H17" s="169">
        <f t="shared" si="0"/>
        <v>0</v>
      </c>
      <c r="I17" s="169">
        <f t="shared" si="0"/>
        <v>0</v>
      </c>
      <c r="K17" s="95" t="str">
        <v/>
      </c>
    </row>
    <row r="18" spans="1:11" x14ac:dyDescent="0.25">
      <c r="A18" s="165" t="s">
        <v>289</v>
      </c>
      <c r="B18" s="166" t="s">
        <v>613</v>
      </c>
      <c r="C18" s="168">
        <v>26421</v>
      </c>
      <c r="D18" s="168">
        <f>ТИТУЛ!$DF$10</f>
        <v>2021</v>
      </c>
      <c r="E18" s="168"/>
      <c r="F18" s="170"/>
      <c r="G18" s="170"/>
      <c r="H18" s="170"/>
      <c r="I18" s="170"/>
      <c r="J18" s="87">
        <f>ROW()</f>
        <v>18</v>
      </c>
      <c r="K18" s="95" t="str">
        <v/>
      </c>
    </row>
    <row r="19" spans="1:11" x14ac:dyDescent="0.25">
      <c r="A19" s="165"/>
      <c r="B19" s="175" t="str">
        <f t="array" ref="B19">IFERROR(LEFT(J19,MIN(IF(ISNUMBER(-MID(J19,ROW($1:$46),1)),ROW($1:$46)))-2),"")</f>
        <v/>
      </c>
      <c r="C19" s="167" t="s">
        <v>597</v>
      </c>
      <c r="D19" s="168">
        <f>ТИТУЛ!$DF$10</f>
        <v>2021</v>
      </c>
      <c r="E19" s="168" t="str">
        <f t="array" aca="1" ref="E19" ca="1">IFERROR(MID(J19,MATCH(TRUE,ISNUMBER(MID(J19,ROW(INDIRECT("1:"&amp;LEN(J19))),1)*1),0),10),"")</f>
        <v/>
      </c>
      <c r="F19" s="192">
        <f>SUMIF(ПОКАЗАТЕЛИ!A74:A299,(CONCATENATE(LEFT(J19,LEN(J19)-5),"244.0")),ПОКАЗАТЕЛИ!F74:F299)</f>
        <v>0</v>
      </c>
      <c r="G19" s="192">
        <f>SUMIF(ПОКАЗАТЕЛИ!A74:A299,(CONCATENATE(LEFT(J19,LEN(J19)-5),"244.0")),ПОКАЗАТЕЛИ!G74:G299)</f>
        <v>0</v>
      </c>
      <c r="H19" s="192">
        <f>SUMIF(ПОКАЗАТЕЛИ!A74:A299,(CONCATENATE(LEFT(J19,LEN(J19)-5),"244.0")),ПОКАЗАТЕЛИ!H74:H299)</f>
        <v>0</v>
      </c>
      <c r="I19" s="192"/>
      <c r="J19" s="242" t="str">
        <f t="array" ref="J19:J21">IF(INDEX(УЧРЕЖДЕНИЯ!A14:M53,MATCH(ТИТУЛ!CO20,УЧРЕЖДЕНИЯ!$C$14:$C$53,0),9)="БУ",IFERROR(INDEX(КБК!E828:E887,SMALL(IF((((152=КБК!F828:F887))*("Ф"=КБК!I828:I887)*(NOT(ISERR(SEARCH(ПОКАЗАТЕЛИ!$O$1,КБК!D828:D887))))),ROW(КБК!E828:E887)-КБК!A828+1,""),ROW()-$J$18)),""),"")</f>
        <v/>
      </c>
      <c r="K19" s="95" t="str">
        <v/>
      </c>
    </row>
    <row r="20" spans="1:11" x14ac:dyDescent="0.25">
      <c r="A20" s="165"/>
      <c r="B20" s="175" t="str">
        <f t="array" ref="B20">IFERROR(LEFT(J20,MIN(IF(ISNUMBER(-MID(J20,ROW($1:$46),1)),ROW($1:$46)))-2),"")</f>
        <v/>
      </c>
      <c r="C20" s="167" t="s">
        <v>611</v>
      </c>
      <c r="D20" s="168">
        <f>ТИТУЛ!$DF$10</f>
        <v>2021</v>
      </c>
      <c r="E20" s="168" t="str">
        <f t="array" aca="1" ref="E20" ca="1">IFERROR(MID(J20,MATCH(TRUE,ISNUMBER(MID(J20,ROW(INDIRECT("1:"&amp;LEN(J20))),1)*1),0),10),"")</f>
        <v/>
      </c>
      <c r="F20" s="192">
        <f>SUMIF(ПОКАЗАТЕЛИ!A74:A299,(CONCATENATE(LEFT(J20,LEN(J20)-5),"244.0")),ПОКАЗАТЕЛИ!F74:F299)</f>
        <v>0</v>
      </c>
      <c r="G20" s="192">
        <f>SUMIF(ПОКАЗАТЕЛИ!A74:A299,(CONCATENATE(LEFT(J20,LEN(J20)-5),"244.0")),ПОКАЗАТЕЛИ!G74:G299)</f>
        <v>0</v>
      </c>
      <c r="H20" s="192">
        <f>SUMIF(ПОКАЗАТЕЛИ!A74:A299,(CONCATENATE(LEFT(J20,LEN(J20)-5),"244.0")),ПОКАЗАТЕЛИ!H74:H299)</f>
        <v>0</v>
      </c>
      <c r="I20" s="192"/>
      <c r="J20" s="242" t="str">
        <v/>
      </c>
      <c r="K20" s="95" t="str">
        <v/>
      </c>
    </row>
    <row r="21" spans="1:11" x14ac:dyDescent="0.25">
      <c r="A21" s="165"/>
      <c r="B21" s="175" t="str">
        <f t="array" ref="B21">IFERROR(LEFT(J21,MIN(IF(ISNUMBER(-MID(J21,ROW($1:$46),1)),ROW($1:$46)))-2),"")</f>
        <v/>
      </c>
      <c r="C21" s="167" t="s">
        <v>624</v>
      </c>
      <c r="D21" s="168">
        <f>ТИТУЛ!$DF$10</f>
        <v>2021</v>
      </c>
      <c r="E21" s="168" t="str">
        <f t="array" aca="1" ref="E21" ca="1">IFERROR(MID(J21,MATCH(TRUE,ISNUMBER(MID(J21,ROW(INDIRECT("1:"&amp;LEN(J21))),1)*1),0),10),"")</f>
        <v/>
      </c>
      <c r="F21" s="192">
        <f>SUMIF(ПОКАЗАТЕЛИ!A74:A299,(CONCATENATE(LEFT(J21,LEN(J21)-5),"244.0")),ПОКАЗАТЕЛИ!F74:F299)</f>
        <v>0</v>
      </c>
      <c r="G21" s="192">
        <f>SUMIF(ПОКАЗАТЕЛИ!A74:A299,(CONCATENATE(LEFT(J21,LEN(J21)-5),"244.0")),ПОКАЗАТЕЛИ!G74:G299)</f>
        <v>0</v>
      </c>
      <c r="H21" s="192">
        <f>SUMIF(ПОКАЗАТЕЛИ!A74:A299,(CONCATENATE(LEFT(J21,LEN(J21)-5),"244.0")),ПОКАЗАТЕЛИ!H74:H299)</f>
        <v>0</v>
      </c>
      <c r="I21" s="192"/>
      <c r="J21" s="242" t="str">
        <v/>
      </c>
      <c r="K21" s="95" t="str">
        <v/>
      </c>
    </row>
    <row r="22" spans="1:11" x14ac:dyDescent="0.25">
      <c r="A22" s="165" t="s">
        <v>290</v>
      </c>
      <c r="B22" s="166" t="s">
        <v>595</v>
      </c>
      <c r="C22" s="168">
        <v>26422</v>
      </c>
      <c r="D22" s="168">
        <f>ТИТУЛ!$DF$10</f>
        <v>2021</v>
      </c>
      <c r="E22" s="168"/>
      <c r="F22" s="170">
        <v>50221368.57</v>
      </c>
      <c r="G22" s="170"/>
      <c r="H22" s="170"/>
      <c r="I22" s="170"/>
      <c r="K22" s="95" t="str">
        <v/>
      </c>
    </row>
    <row r="23" spans="1:11" x14ac:dyDescent="0.25">
      <c r="A23" s="165" t="s">
        <v>291</v>
      </c>
      <c r="B23" s="166" t="s">
        <v>632</v>
      </c>
      <c r="C23" s="168">
        <v>26430</v>
      </c>
      <c r="D23" s="168">
        <f>ТИТУЛ!$DF$10</f>
        <v>2021</v>
      </c>
      <c r="E23" s="168"/>
      <c r="F23" s="170"/>
      <c r="G23" s="170"/>
      <c r="H23" s="170"/>
      <c r="I23" s="170"/>
      <c r="J23" s="87">
        <f>ROW()</f>
        <v>23</v>
      </c>
      <c r="K23" s="95" t="str">
        <v/>
      </c>
    </row>
    <row r="24" spans="1:11" x14ac:dyDescent="0.25">
      <c r="A24" s="165"/>
      <c r="B24" s="175" t="str">
        <f t="array" ref="B24">IFERROR(LEFT(J24,MIN(IF(ISNUMBER(-MID(J24,ROW($1:$46),1)),ROW($1:$46)))-2),"")</f>
        <v/>
      </c>
      <c r="C24" s="167" t="s">
        <v>633</v>
      </c>
      <c r="D24" s="168">
        <f>ТИТУЛ!$DF$10</f>
        <v>2021</v>
      </c>
      <c r="E24" s="168" t="str">
        <f t="array" aca="1" ref="E24" ca="1">IFERROR(MID(J24,MATCH(TRUE,ISNUMBER(MID(J24,ROW(INDIRECT("1:"&amp;LEN(J24))),1)*1),0),10),"")</f>
        <v/>
      </c>
      <c r="F24" s="192">
        <f t="array" ref="F24">INDEX(ПОКАЗАТЕЛИ!$A$57:$H$60,MATCH($J$24,ПОКАЗАТЕЛИ!$A$57:$A$60,0),6)</f>
        <v>0</v>
      </c>
      <c r="G24" s="192">
        <f t="array" ref="G24">INDEX(ПОКАЗАТЕЛИ!$A$57:$H$60,MATCH($J$24,ПОКАЗАТЕЛИ!$A$57:$A$60,0),7)</f>
        <v>0</v>
      </c>
      <c r="H24" s="192">
        <f>INDEX(ПОКАЗАТЕЛИ!$A$57:$H$60,MATCH($J$24,ПОКАЗАТЕЛИ!$A$57:$A$60,0),8)</f>
        <v>0</v>
      </c>
      <c r="I24" s="192"/>
      <c r="J24" s="242" t="str">
        <f t="array" ref="J24:J26">IFERROR(INDEX(КБК!E876:E887,SMALL(IF(((162=КБК!F828:F887)*("Ф"=КБК!I828:I887)*(NOT(ISERR(SEARCH(ПОКАЗАТЕЛИ!$O$1,КБК!D828:D887))))),ROW(КБК!E828:E887)-КБК!A828+1,""),ROW()-J23)),"")</f>
        <v/>
      </c>
      <c r="K24" s="95" t="str">
        <v/>
      </c>
    </row>
    <row r="25" spans="1:11" x14ac:dyDescent="0.25">
      <c r="A25" s="165"/>
      <c r="B25" s="175" t="str">
        <f t="array" ref="B25">IFERROR(LEFT(J25,MIN(IF(ISNUMBER(-MID(J25,ROW($1:$46),1)),ROW($1:$46)))-2),"")</f>
        <v/>
      </c>
      <c r="C25" s="167" t="s">
        <v>634</v>
      </c>
      <c r="D25" s="168">
        <f>ТИТУЛ!$DF$10</f>
        <v>2021</v>
      </c>
      <c r="E25" s="168" t="str">
        <f t="array" aca="1" ref="E25" ca="1">IFERROR(MID(J25,MATCH(TRUE,ISNUMBER(MID(J25,ROW(INDIRECT("1:"&amp;LEN(J25))),1)*1),0),10),"")</f>
        <v/>
      </c>
      <c r="F25" s="192">
        <f t="array" ref="F25">INDEX(ПОКАЗАТЕЛИ!$A$57:$H$60,MATCH($J$25,ПОКАЗАТЕЛИ!$A$57:$A$60,0),6)</f>
        <v>0</v>
      </c>
      <c r="G25" s="192">
        <f t="array" ref="G25">INDEX(ПОКАЗАТЕЛИ!$A$57:$H$60,MATCH($J$25,ПОКАЗАТЕЛИ!$A$57:$A$60,0),7)</f>
        <v>0</v>
      </c>
      <c r="H25" s="192">
        <f t="array" ref="H25">INDEX(ПОКАЗАТЕЛИ!$A$57:$H$60,MATCH($J$25,ПОКАЗАТЕЛИ!$A$57:$A$60,0),8)</f>
        <v>0</v>
      </c>
      <c r="I25" s="192"/>
      <c r="J25" s="242" t="str">
        <v/>
      </c>
      <c r="K25" s="95" t="str">
        <v/>
      </c>
    </row>
    <row r="26" spans="1:11" x14ac:dyDescent="0.25">
      <c r="A26" s="165"/>
      <c r="B26" s="175" t="str">
        <f t="array" ref="B26">IFERROR(LEFT(J26,MIN(IF(ISNUMBER(-MID(J26,ROW($1:$46),1)),ROW($1:$46)))-2),"")</f>
        <v/>
      </c>
      <c r="C26" s="167" t="s">
        <v>635</v>
      </c>
      <c r="D26" s="168">
        <f>ТИТУЛ!$DF$10</f>
        <v>2021</v>
      </c>
      <c r="E26" s="168" t="str">
        <f t="array" aca="1" ref="E26" ca="1">IFERROR(MID(J26,MATCH(TRUE,ISNUMBER(MID(J26,ROW(INDIRECT("1:"&amp;LEN(J26))),1)*1),0),10),"")</f>
        <v/>
      </c>
      <c r="F26" s="192">
        <f>INDEX(ПОКАЗАТЕЛИ!$A$57:$H$60,MATCH($J$26,ПОКАЗАТЕЛИ!$A$57:$A$60,0),6)</f>
        <v>0</v>
      </c>
      <c r="G26" s="192">
        <f t="array" ref="G26">INDEX(ПОКАЗАТЕЛИ!$A$57:$H$60,MATCH($J$26,ПОКАЗАТЕЛИ!$A$57:$A$60,0),7)</f>
        <v>0</v>
      </c>
      <c r="H26" s="192">
        <f t="array" ref="H26">INDEX(ПОКАЗАТЕЛИ!$A$57:$H$60,MATCH($J$26,ПОКАЗАТЕЛИ!$A$57:$A$60,0),8)</f>
        <v>0</v>
      </c>
      <c r="I26" s="192"/>
      <c r="J26" s="242" t="str">
        <v/>
      </c>
      <c r="K26" s="95" t="str">
        <v/>
      </c>
    </row>
    <row r="27" spans="1:11" x14ac:dyDescent="0.25">
      <c r="A27" s="165" t="s">
        <v>292</v>
      </c>
      <c r="B27" s="166" t="s">
        <v>293</v>
      </c>
      <c r="C27" s="167">
        <v>26450</v>
      </c>
      <c r="D27" s="168">
        <f>ТИТУЛ!$DF$10</f>
        <v>2021</v>
      </c>
      <c r="E27" s="168"/>
      <c r="F27" s="169">
        <f>F28+F32</f>
        <v>0</v>
      </c>
      <c r="G27" s="169">
        <f>G28+G32</f>
        <v>0</v>
      </c>
      <c r="H27" s="169">
        <f>H28+H32</f>
        <v>0</v>
      </c>
      <c r="I27" s="169">
        <f>I28+I32</f>
        <v>0</v>
      </c>
      <c r="K27" s="95" t="str">
        <v/>
      </c>
    </row>
    <row r="28" spans="1:11" x14ac:dyDescent="0.25">
      <c r="A28" s="165" t="s">
        <v>294</v>
      </c>
      <c r="B28" s="166" t="s">
        <v>613</v>
      </c>
      <c r="C28" s="168">
        <v>26451</v>
      </c>
      <c r="D28" s="168">
        <f>ТИТУЛ!$DF$10</f>
        <v>2021</v>
      </c>
      <c r="E28" s="168"/>
      <c r="F28" s="170"/>
      <c r="G28" s="170"/>
      <c r="H28" s="170"/>
      <c r="I28" s="170"/>
      <c r="J28" s="87">
        <f>ROW()</f>
        <v>28</v>
      </c>
      <c r="K28" s="96" t="str">
        <v/>
      </c>
    </row>
    <row r="29" spans="1:11" x14ac:dyDescent="0.25">
      <c r="A29" s="165"/>
      <c r="B29" s="175" t="str">
        <f t="array" ref="B29">IFERROR(LEFT(J29,MIN(IF(ISNUMBER(-MID(J29,ROW($1:$46),1)),ROW($1:$46)))-2),"")</f>
        <v/>
      </c>
      <c r="C29" s="167" t="s">
        <v>598</v>
      </c>
      <c r="D29" s="168">
        <f>ТИТУЛ!$DF$10</f>
        <v>2021</v>
      </c>
      <c r="E29" s="168" t="str">
        <f t="array" aca="1" ref="E29" ca="1">IFERROR(MID(J29,MATCH(TRUE,ISNUMBER(MID(J24,ROW(INDIRECT("1:"&amp;LEN(J24))),1)*1),0),10),"")</f>
        <v/>
      </c>
      <c r="F29" s="192"/>
      <c r="G29" s="192"/>
      <c r="H29" s="192"/>
      <c r="I29" s="192"/>
      <c r="J29" s="242" t="str">
        <f t="array" ref="J29:J31">IFERROR(INDEX(КБК!E828:E887,SMALL(IF(((Z=КБК!F828:F887)*("Ф"=КБК!I828:I887)*(NOT(ISERR(SEARCH(ПОКАЗАТЕЛИ!$O$1,КБК!D828:D887))))),ROW(КБК!E828:E887)-КБК!A828+1,""),ROW()-$J$28)),"")</f>
        <v/>
      </c>
      <c r="K29" s="87" t="s">
        <v>650</v>
      </c>
    </row>
    <row r="30" spans="1:11" x14ac:dyDescent="0.25">
      <c r="A30" s="165"/>
      <c r="B30" s="175" t="str">
        <f t="array" ref="B30">IFERROR(LEFT(J30,MIN(IF(ISNUMBER(-MID(J30,ROW($1:$46),1)),ROW($1:$46)))-2),"")</f>
        <v/>
      </c>
      <c r="C30" s="167" t="s">
        <v>625</v>
      </c>
      <c r="D30" s="168">
        <f>ТИТУЛ!$DF$10</f>
        <v>2021</v>
      </c>
      <c r="E30" s="168" t="str">
        <f t="array" aca="1" ref="E30" ca="1">IFERROR(MID(J30,MATCH(TRUE,ISNUMBER(MID(J25,ROW(INDIRECT("1:"&amp;LEN(J25))),1)*1),0),10),"")</f>
        <v/>
      </c>
      <c r="F30" s="192"/>
      <c r="G30" s="192"/>
      <c r="H30" s="192"/>
      <c r="I30" s="192"/>
      <c r="J30" s="242" t="str">
        <v/>
      </c>
    </row>
    <row r="31" spans="1:11" x14ac:dyDescent="0.25">
      <c r="A31" s="165"/>
      <c r="B31" s="175" t="str">
        <f t="array" ref="B31">IFERROR(LEFT(J31,MIN(IF(ISNUMBER(-MID(J31,ROW($1:$46),1)),ROW($1:$46)))-2),"")</f>
        <v/>
      </c>
      <c r="C31" s="167" t="s">
        <v>626</v>
      </c>
      <c r="D31" s="168">
        <f>ТИТУЛ!$DF$10</f>
        <v>2021</v>
      </c>
      <c r="E31" s="168" t="str">
        <f t="array" aca="1" ref="E31" ca="1">IFERROR(MID(J31,MATCH(TRUE,ISNUMBER(MID(J26,ROW(INDIRECT("1:"&amp;LEN(J26))),1)*1),0),10),"")</f>
        <v/>
      </c>
      <c r="F31" s="192"/>
      <c r="G31" s="192"/>
      <c r="H31" s="192"/>
      <c r="I31" s="192"/>
      <c r="J31" s="242" t="str">
        <v/>
      </c>
    </row>
    <row r="32" spans="1:11" x14ac:dyDescent="0.25">
      <c r="A32" s="165" t="s">
        <v>295</v>
      </c>
      <c r="B32" s="166" t="s">
        <v>595</v>
      </c>
      <c r="C32" s="168">
        <v>26452</v>
      </c>
      <c r="D32" s="168">
        <f>ТИТУЛ!$DF$10</f>
        <v>2021</v>
      </c>
      <c r="E32" s="168"/>
      <c r="F32" s="170"/>
      <c r="G32" s="170"/>
      <c r="H32" s="170"/>
      <c r="I32" s="170"/>
    </row>
    <row r="33" spans="1:9" x14ac:dyDescent="0.25">
      <c r="A33" s="165" t="s">
        <v>209</v>
      </c>
      <c r="B33" s="166" t="s">
        <v>329</v>
      </c>
      <c r="C33" s="167">
        <v>26500</v>
      </c>
      <c r="D33" s="168" t="s">
        <v>211</v>
      </c>
      <c r="E33" s="168"/>
      <c r="F33" s="169">
        <f>F15+F18+F23+F28</f>
        <v>0</v>
      </c>
      <c r="G33" s="169">
        <f>G15+G18+G23+G28</f>
        <v>0</v>
      </c>
      <c r="H33" s="169">
        <f>H15+H18+H23+H28</f>
        <v>0</v>
      </c>
      <c r="I33" s="169">
        <f>I15+I18+I23+I28</f>
        <v>0</v>
      </c>
    </row>
    <row r="34" spans="1:9" x14ac:dyDescent="0.25">
      <c r="A34" s="165"/>
      <c r="B34" s="166" t="s">
        <v>296</v>
      </c>
      <c r="C34" s="167">
        <v>26510</v>
      </c>
      <c r="D34" s="168" t="s">
        <v>211</v>
      </c>
      <c r="E34" s="168"/>
      <c r="F34" s="169">
        <f>F8</f>
        <v>0</v>
      </c>
      <c r="G34" s="169">
        <f>G8</f>
        <v>0</v>
      </c>
      <c r="H34" s="169">
        <f>H8</f>
        <v>0</v>
      </c>
      <c r="I34" s="169">
        <f>I8</f>
        <v>0</v>
      </c>
    </row>
    <row r="35" spans="1:9" x14ac:dyDescent="0.25">
      <c r="A35" s="165" t="s">
        <v>210</v>
      </c>
      <c r="B35" s="166" t="s">
        <v>330</v>
      </c>
      <c r="C35" s="167">
        <v>26600</v>
      </c>
      <c r="D35" s="168" t="s">
        <v>211</v>
      </c>
      <c r="E35" s="168"/>
      <c r="F35" s="169">
        <f>F16+F22+F32</f>
        <v>75412627.730000004</v>
      </c>
      <c r="G35" s="169">
        <f t="shared" ref="G35:I35" si="1">G16+G22+G32</f>
        <v>25140280</v>
      </c>
      <c r="H35" s="169">
        <f t="shared" si="1"/>
        <v>25140280</v>
      </c>
      <c r="I35" s="169">
        <f t="shared" si="1"/>
        <v>0</v>
      </c>
    </row>
    <row r="36" spans="1:9" x14ac:dyDescent="0.25">
      <c r="A36" s="165"/>
      <c r="B36" s="166" t="s">
        <v>296</v>
      </c>
      <c r="C36" s="167">
        <v>26610</v>
      </c>
      <c r="D36" s="168" t="s">
        <v>211</v>
      </c>
      <c r="E36" s="168"/>
      <c r="F36" s="169">
        <f>F12</f>
        <v>42204831.43</v>
      </c>
      <c r="G36" s="169">
        <f>G12</f>
        <v>0</v>
      </c>
      <c r="H36" s="169">
        <f>H12</f>
        <v>0</v>
      </c>
      <c r="I36" s="169">
        <f>I12</f>
        <v>0</v>
      </c>
    </row>
    <row r="37" spans="1:9" x14ac:dyDescent="0.25">
      <c r="A37" s="176"/>
      <c r="B37" s="177"/>
      <c r="C37" s="178"/>
      <c r="D37" s="203"/>
      <c r="E37" s="179"/>
      <c r="F37" s="180"/>
      <c r="G37" s="181"/>
      <c r="H37" s="181"/>
      <c r="I37" s="181"/>
    </row>
    <row r="38" spans="1:9" x14ac:dyDescent="0.25">
      <c r="C38" s="204"/>
      <c r="D38" s="204"/>
      <c r="E38" s="404" t="str">
        <f>IF(OR(L2="НЕ ВЕРНО",L3="НЕ ЗАПОЛНЕНО"),"НЕТ ПОДПИСИ","")</f>
        <v/>
      </c>
      <c r="F38" s="405"/>
      <c r="G38" s="410" t="str">
        <f>IFERROR(INDEX(УЧРЕЖДЕНИЯ!$K$14:$K$53,MATCH(ТИТУЛ!$CO$20,УЧРЕЖДЕНИЯ!$C$14:$C$53,0)),"")</f>
        <v>Габдулин Шамиль Рауильевич</v>
      </c>
      <c r="H38" s="411"/>
      <c r="I38" s="411"/>
    </row>
    <row r="39" spans="1:9" x14ac:dyDescent="0.25">
      <c r="C39" s="87"/>
      <c r="D39" s="89" t="str">
        <f>IFERROR(INDEX(УЧРЕЖДЕНИЯ!$J$14:$J$53,MATCH(ТИТУЛ!$CO$20,УЧРЕЖДЕНИЯ!$C$14:$C$53,0)),"")</f>
        <v>Директор</v>
      </c>
      <c r="E39" s="406"/>
      <c r="F39" s="406"/>
      <c r="G39" s="411"/>
      <c r="H39" s="411"/>
      <c r="I39" s="411"/>
    </row>
    <row r="40" spans="1:9" x14ac:dyDescent="0.25">
      <c r="C40" s="204" t="s">
        <v>143</v>
      </c>
      <c r="D40" s="204"/>
      <c r="E40" s="420" t="s">
        <v>148</v>
      </c>
      <c r="F40" s="421"/>
    </row>
    <row r="41" spans="1:9" x14ac:dyDescent="0.25">
      <c r="C41" s="87"/>
      <c r="D41" s="91"/>
      <c r="E41" s="404" t="str">
        <f>E38</f>
        <v/>
      </c>
      <c r="F41" s="405"/>
      <c r="G41" s="410" t="str">
        <f>IFERROR(INDEX(УЧРЕЖДЕНИЯ!$M$14:$M$53,MATCH(ТИТУЛ!$CO$20,УЧРЕЖДЕНИЯ!$C$14:$C$53,0)),"")</f>
        <v>Артемьева Елизавета Михайловна</v>
      </c>
      <c r="H41" s="411"/>
      <c r="I41" s="411"/>
    </row>
    <row r="42" spans="1:9" x14ac:dyDescent="0.25">
      <c r="C42" s="91"/>
      <c r="D42" s="88" t="str">
        <f>IFERROR(INDEX(УЧРЕЖДЕНИЯ!$L$14:$L$53,MATCH(ТИТУЛ!$CO$20,УЧРЕЖДЕНИЯ!$C$14:$C$53,0)),"")</f>
        <v>Главный бухгалтер</v>
      </c>
      <c r="E42" s="406"/>
      <c r="F42" s="406"/>
      <c r="G42" s="411"/>
      <c r="H42" s="411"/>
      <c r="I42" s="411"/>
    </row>
    <row r="43" spans="1:9" ht="14.4" x14ac:dyDescent="0.3">
      <c r="C43" s="415"/>
      <c r="D43" s="416"/>
      <c r="E43" s="402" t="s">
        <v>148</v>
      </c>
      <c r="F43" s="403"/>
    </row>
    <row r="44" spans="1:9" x14ac:dyDescent="0.25">
      <c r="C44" s="414" t="str">
        <f>ПОКАЗАТЕЛИ!H304</f>
        <v>Исполнитель</v>
      </c>
      <c r="D44" s="381"/>
      <c r="E44" s="407" t="str">
        <f>ПОКАЗАТЕЛИ!J304</f>
        <v/>
      </c>
      <c r="F44" s="408"/>
      <c r="G44" s="412" t="str">
        <f>ПОКАЗАТЕЛИ!L304</f>
        <v>Артемьева Елизавета Михайловна</v>
      </c>
      <c r="H44" s="413"/>
      <c r="I44" s="413"/>
    </row>
    <row r="45" spans="1:9" x14ac:dyDescent="0.25">
      <c r="C45" s="381"/>
      <c r="D45" s="381"/>
      <c r="E45" s="409"/>
      <c r="F45" s="409"/>
      <c r="G45" s="413"/>
      <c r="H45" s="413"/>
      <c r="I45" s="413"/>
    </row>
    <row r="46" spans="1:9" x14ac:dyDescent="0.25">
      <c r="C46" s="204"/>
      <c r="D46" s="204"/>
      <c r="E46" s="402" t="s">
        <v>148</v>
      </c>
      <c r="F46" s="403"/>
    </row>
  </sheetData>
  <sheetProtection password="E80F" sheet="1" objects="1" scenarios="1" formatCells="0" formatColumns="0" formatRows="0" insertColumns="0" insertRows="0" insertHyperlinks="0" deleteColumns="0" deleteRows="0" sort="0" autoFilter="0" pivotTables="0"/>
  <dataConsolidate/>
  <mergeCells count="18">
    <mergeCell ref="C44:D45"/>
    <mergeCell ref="C43:D43"/>
    <mergeCell ref="A1:I1"/>
    <mergeCell ref="F2:I2"/>
    <mergeCell ref="A2:A3"/>
    <mergeCell ref="B2:B3"/>
    <mergeCell ref="C2:C3"/>
    <mergeCell ref="D2:D3"/>
    <mergeCell ref="E2:E3"/>
    <mergeCell ref="E43:F43"/>
    <mergeCell ref="E40:F40"/>
    <mergeCell ref="E46:F46"/>
    <mergeCell ref="E38:F39"/>
    <mergeCell ref="E41:F42"/>
    <mergeCell ref="E44:F45"/>
    <mergeCell ref="G38:I39"/>
    <mergeCell ref="G41:I42"/>
    <mergeCell ref="G44:I45"/>
  </mergeCells>
  <dataValidations disablePrompts="1" count="1">
    <dataValidation type="custom" allowBlank="1" showInputMessage="1" showErrorMessage="1" sqref="I9:I11">
      <formula1>AND((INDEX($E$4:$E$36,MATCH(E9,$E$4:$E$39,0)))&lt;&gt;"",I9&gt;0)</formula1>
    </dataValidation>
  </dataValidations>
  <printOptions horizontalCentered="1"/>
  <pageMargins left="0.39370078740157483" right="0.39370078740157483" top="0.39370078740157483" bottom="0.39370078740157483" header="0" footer="0"/>
  <pageSetup paperSize="9" scale="82" firstPageNumber="10" orientation="landscape" useFirstPageNumber="1" horizontalDpi="300" verticalDpi="300" r:id="rId1"/>
  <headerFooter>
    <oddFooter xml:space="preserve">&amp;L&amp;T &amp;D&amp;Cверсия 210324&amp;R&amp;P из 12
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>
    <tabColor rgb="FF00B050"/>
  </sheetPr>
  <dimension ref="A1:P80"/>
  <sheetViews>
    <sheetView showZeros="0" view="pageBreakPreview" topLeftCell="A58" zoomScaleNormal="100" zoomScaleSheetLayoutView="100" workbookViewId="0">
      <selection activeCell="A7" sqref="A1:A1048576"/>
    </sheetView>
  </sheetViews>
  <sheetFormatPr defaultColWidth="9.109375" defaultRowHeight="13.8" x14ac:dyDescent="0.25"/>
  <cols>
    <col min="1" max="1" width="31.109375" style="18" customWidth="1"/>
    <col min="2" max="2" width="4.33203125" style="18" customWidth="1"/>
    <col min="3" max="3" width="4.77734375" style="18" customWidth="1"/>
    <col min="4" max="4" width="3.88671875" style="18" customWidth="1"/>
    <col min="5" max="5" width="4" style="18" customWidth="1"/>
    <col min="6" max="13" width="13.5546875" style="18" customWidth="1"/>
    <col min="14" max="15" width="10" style="18" bestFit="1" customWidth="1"/>
    <col min="16" max="16384" width="9.109375" style="18"/>
  </cols>
  <sheetData>
    <row r="1" spans="1:14" ht="15" customHeight="1" x14ac:dyDescent="0.25">
      <c r="A1" s="474" t="str">
        <f>IF(AND(F70=0,ПОКАЗАТЕЛИ!F44=0,ПОКАЗАТЕЛИ!F56=0),"НЕ ПЕЧАТАЕТЬСЯ","")</f>
        <v/>
      </c>
      <c r="B1" s="482"/>
      <c r="C1" s="482"/>
      <c r="D1" s="482"/>
      <c r="E1" s="482"/>
      <c r="F1" s="482"/>
      <c r="G1" s="122"/>
      <c r="H1" s="122"/>
      <c r="I1" s="463" t="str">
        <f>IF(OR(E73="ВСЕ НЕ ВЕРНО",A70="НЕ ЗАПОЛНЕНО",A1="НЕ ПЕЧАТАЕТЬСЯ",A3="НЕ ПРЕДСТАВЛЯЕТЬСЯ"),"НЕ УТВЕРЖДАЮ","УТВЕРЖДАЮ")</f>
        <v>УТВЕРЖДАЮ</v>
      </c>
      <c r="J1" s="473"/>
      <c r="K1" s="473"/>
      <c r="L1" s="473"/>
      <c r="M1" s="473"/>
      <c r="N1" s="18">
        <f t="array" ref="N1">IF(A19:A45&lt;&gt;"",1,2)</f>
        <v>1</v>
      </c>
    </row>
    <row r="2" spans="1:14" ht="15" customHeight="1" x14ac:dyDescent="0.25">
      <c r="A2" s="482"/>
      <c r="B2" s="482"/>
      <c r="C2" s="482"/>
      <c r="D2" s="482"/>
      <c r="E2" s="482"/>
      <c r="F2" s="482"/>
      <c r="G2" s="79"/>
      <c r="H2" s="79"/>
      <c r="I2" s="465" t="str">
        <f>INDEX(УЧРЕЖДЕНИЯ!J14:J53,MATCH(ТИТУЛ!CO20,УЧРЕЖДЕНИЯ!C14:C53,0))</f>
        <v>Директор</v>
      </c>
      <c r="J2" s="473"/>
      <c r="K2" s="473"/>
      <c r="L2" s="473"/>
      <c r="M2" s="473"/>
    </row>
    <row r="3" spans="1:14" ht="15" customHeight="1" x14ac:dyDescent="0.25">
      <c r="A3" s="483" t="str">
        <f>IF(AND(F70=0,ПОКАЗАТЕЛИ!F44=0,ПОКАЗАТЕЛИ!F56=0),"НЕ ПРЕДСТАВЛЯЕТЬСЯ","")</f>
        <v/>
      </c>
      <c r="B3" s="482"/>
      <c r="C3" s="482"/>
      <c r="D3" s="482"/>
      <c r="E3" s="482"/>
      <c r="F3" s="482"/>
      <c r="G3" s="211"/>
      <c r="H3" s="211"/>
      <c r="I3" s="465" t="str">
        <f>INDEX(УЧРЕЖДЕНИЯ!F14:F53,MATCH(ТИТУЛ!CO20,УЧРЕЖДЕНИЯ!C14:C53,0))</f>
        <v>Муниципальное автономное учреждение "Физкультурно-оздоровительный комплекс "Атлант" в г.Шахунья"</v>
      </c>
      <c r="J3" s="473"/>
      <c r="K3" s="473"/>
      <c r="L3" s="473"/>
      <c r="M3" s="473"/>
    </row>
    <row r="4" spans="1:14" ht="15" customHeight="1" x14ac:dyDescent="0.25">
      <c r="A4" s="482"/>
      <c r="B4" s="482"/>
      <c r="C4" s="482"/>
      <c r="D4" s="482"/>
      <c r="E4" s="482"/>
      <c r="F4" s="482"/>
      <c r="G4" s="79"/>
      <c r="H4" s="79"/>
      <c r="I4" s="475"/>
      <c r="J4" s="475"/>
      <c r="K4" s="475"/>
      <c r="L4" s="475"/>
      <c r="M4" s="475"/>
    </row>
    <row r="5" spans="1:14" s="19" customFormat="1" ht="15" customHeight="1" x14ac:dyDescent="0.25">
      <c r="A5" s="474" t="str">
        <f>IF(OR(E73="ВСЕ НЕ ВЕРНО",A70="НЕ ЗАПОЛНЕНО",A1="НЕ ПЕЧАТАЕТЬСЯ",A3="НЕ ПРЕДСТАВЛЯЕТЬСЯ"),"НЕ ВЕРНЫЕ","")</f>
        <v/>
      </c>
      <c r="B5" s="292"/>
      <c r="C5" s="292"/>
      <c r="D5" s="292"/>
      <c r="E5" s="292"/>
      <c r="F5" s="358"/>
      <c r="G5" s="210"/>
      <c r="H5" s="210"/>
      <c r="I5" s="461" t="str">
        <f>IFERROR(INDEX(УЧРЕЖДЕНИЯ!$J$14:$J$53,MATCH(ТИТУЛ!$CO$20,УЧРЕЖДЕНИЯ!$C$14:$C$53,0)),"")</f>
        <v>Директор</v>
      </c>
      <c r="J5" s="424" t="str">
        <f>J72</f>
        <v/>
      </c>
      <c r="K5" s="480"/>
      <c r="L5" s="461" t="str">
        <f>INDEX(УЧРЕЖДЕНИЯ!K14:K53,MATCH(ТИТУЛ!CO20,УЧРЕЖДЕНИЯ!C14:C53,0))</f>
        <v>Габдулин Шамиль Рауильевич</v>
      </c>
      <c r="M5" s="476"/>
    </row>
    <row r="6" spans="1:14" ht="15" customHeight="1" x14ac:dyDescent="0.25">
      <c r="A6" s="292"/>
      <c r="B6" s="292"/>
      <c r="C6" s="292"/>
      <c r="D6" s="292"/>
      <c r="E6" s="292"/>
      <c r="F6" s="358"/>
      <c r="G6" s="123"/>
      <c r="H6" s="124"/>
      <c r="I6" s="462"/>
      <c r="J6" s="481"/>
      <c r="K6" s="481"/>
      <c r="L6" s="477"/>
      <c r="M6" s="477"/>
    </row>
    <row r="7" spans="1:14" s="19" customFormat="1" ht="15" customHeight="1" x14ac:dyDescent="0.25">
      <c r="C7" s="20"/>
      <c r="D7" s="20"/>
      <c r="E7" s="20"/>
      <c r="F7" s="121"/>
      <c r="G7" s="195"/>
      <c r="H7" s="484" t="s">
        <v>143</v>
      </c>
      <c r="I7" s="484"/>
      <c r="J7" s="446" t="s">
        <v>148</v>
      </c>
      <c r="K7" s="486"/>
      <c r="L7" s="446"/>
      <c r="M7" s="485"/>
    </row>
    <row r="8" spans="1:14" ht="15" customHeight="1" x14ac:dyDescent="0.3">
      <c r="A8" s="463" t="str">
        <f>CONCATENATE("СВЕДЕНИЯ"," ОТ ",ТИТУЛ!$DF$8," ",ТИТУЛ!$DF$9," ",ТИТУЛ!$DF$10,"Г. ОБ ОПЕРАЦИЯХ С ЦЕЛЕВЫМИ СУБСИДИЯМИ,")</f>
        <v>СВЕДЕНИЯ ОТ 23 МАРТА 2021Г. ОБ ОПЕРАЦИЯХ С ЦЕЛЕВЫМИ СУБСИДИЯМИ,</v>
      </c>
      <c r="B8" s="464"/>
      <c r="C8" s="464"/>
      <c r="D8" s="464"/>
      <c r="E8" s="464"/>
      <c r="F8" s="464"/>
      <c r="G8" s="464"/>
      <c r="H8" s="464"/>
      <c r="I8" s="464"/>
      <c r="J8" s="464"/>
      <c r="K8" s="464"/>
      <c r="L8" s="464"/>
      <c r="M8" s="464"/>
      <c r="N8" s="21"/>
    </row>
    <row r="9" spans="1:14" ht="15" customHeight="1" x14ac:dyDescent="0.3">
      <c r="A9" s="463" t="str">
        <f>CONCATENATE("ПРЕДОСТАВЛЕННЫМИ УЧРЕЖДЕНИЮ НА ",ТИТУЛ!DF10," ГОД"," И НА ПЛАНОВЫЙ ПЕРИОД ",ТИТУЛ!DF10+1," И ",ТИТУЛ!DF10+2," ГОДОВ")</f>
        <v>ПРЕДОСТАВЛЕННЫМИ УЧРЕЖДЕНИЮ НА 2021 ГОД И НА ПЛАНОВЫЙ ПЕРИОД 2022 И 2023 ГОДОВ</v>
      </c>
      <c r="B9" s="464"/>
      <c r="C9" s="464"/>
      <c r="D9" s="464"/>
      <c r="E9" s="464"/>
      <c r="F9" s="464"/>
      <c r="G9" s="464"/>
      <c r="H9" s="464"/>
      <c r="I9" s="464"/>
      <c r="J9" s="464"/>
      <c r="K9" s="464"/>
      <c r="L9" s="464"/>
      <c r="M9" s="464"/>
      <c r="N9" s="118"/>
    </row>
    <row r="10" spans="1:14" ht="15" customHeight="1" x14ac:dyDescent="0.3">
      <c r="A10" s="465" t="s">
        <v>728</v>
      </c>
      <c r="B10" s="465" t="str">
        <f>INDEX(УЧРЕЖДЕНИЯ!E3:E12,MATCH((INDEX(УЧРЕЖДЕНИЯ!A14:A53,MATCH(ТИТУЛ!CO20,УЧРЕЖДЕНИЯ!C14:C53,0))),УЧРЕЖДЕНИЯ!A3:A12,0))</f>
        <v>Администрация городского округа город Шахунья Нижегородской области</v>
      </c>
      <c r="C10" s="466"/>
      <c r="D10" s="466"/>
      <c r="E10" s="466"/>
      <c r="F10" s="466"/>
      <c r="G10" s="466"/>
      <c r="H10" s="466"/>
      <c r="I10" s="466"/>
      <c r="J10" s="466"/>
      <c r="K10" s="215"/>
      <c r="L10" s="215"/>
      <c r="M10" s="246" t="s">
        <v>4</v>
      </c>
      <c r="N10" s="118"/>
    </row>
    <row r="11" spans="1:14" ht="15" customHeight="1" x14ac:dyDescent="0.3">
      <c r="A11" s="466"/>
      <c r="B11" s="466"/>
      <c r="C11" s="466"/>
      <c r="D11" s="466"/>
      <c r="E11" s="466"/>
      <c r="F11" s="466"/>
      <c r="G11" s="466"/>
      <c r="H11" s="466"/>
      <c r="I11" s="466"/>
      <c r="J11" s="466"/>
      <c r="K11" s="478" t="s">
        <v>653</v>
      </c>
      <c r="L11" s="479"/>
      <c r="M11" s="247">
        <f>INDEX(УЧРЕЖДЕНИЯ!D3:D12,MATCH((INDEX(УЧРЕЖДЕНИЯ!A14:A53,MATCH(ТИТУЛ!CO20,УЧРЕЖДЕНИЯ!C14:C53,0))),УЧРЕЖДЕНИЯ!A3:A12,0))</f>
        <v>22320044</v>
      </c>
      <c r="N11" s="78"/>
    </row>
    <row r="12" spans="1:14" ht="15" customHeight="1" x14ac:dyDescent="0.3">
      <c r="A12" s="467"/>
      <c r="B12" s="467"/>
      <c r="C12" s="467"/>
      <c r="D12" s="467"/>
      <c r="E12" s="467"/>
      <c r="F12" s="467"/>
      <c r="G12" s="467"/>
      <c r="H12" s="467"/>
      <c r="I12" s="467"/>
      <c r="J12" s="467"/>
      <c r="K12" s="459" t="s">
        <v>1</v>
      </c>
      <c r="L12" s="460"/>
      <c r="M12" s="247" t="str">
        <f>INDEX(УЧРЕЖДЕНИЯ!C3:C12,MATCH((INDEX(УЧРЕЖДЕНИЯ!A14:A53,MATCH(ТИТУЛ!CO20,УЧРЕЖДЕНИЯ!C14:C53,0))),УЧРЕЖДЕНИЯ!A3:A12,0))</f>
        <v>487</v>
      </c>
      <c r="N12" s="78"/>
    </row>
    <row r="13" spans="1:14" ht="15" customHeight="1" x14ac:dyDescent="0.3">
      <c r="A13" s="471" t="s">
        <v>726</v>
      </c>
      <c r="B13" s="468" t="str">
        <f>INDEX(УЧРЕЖДЕНИЯ!F14:F53,MATCH(ТИТУЛ!CO20,УЧРЕЖДЕНИЯ!C14:C53,0))</f>
        <v>Муниципальное автономное учреждение "Физкультурно-оздоровительный комплекс "Атлант" в г.Шахунья"</v>
      </c>
      <c r="C13" s="469"/>
      <c r="D13" s="469"/>
      <c r="E13" s="469"/>
      <c r="F13" s="469"/>
      <c r="G13" s="469"/>
      <c r="H13" s="469"/>
      <c r="I13" s="469"/>
      <c r="J13" s="469"/>
      <c r="K13" s="457" t="s">
        <v>653</v>
      </c>
      <c r="L13" s="458"/>
      <c r="M13" s="248">
        <f>INDEX(УЧРЕЖДЕНИЯ!B14:B54,MATCH(ТИТУЛ!CO20,УЧРЕЖДЕНИЯ!C14:C54,0))</f>
        <v>22320477</v>
      </c>
      <c r="N13" s="78"/>
    </row>
    <row r="14" spans="1:14" ht="15" customHeight="1" x14ac:dyDescent="0.3">
      <c r="A14" s="472"/>
      <c r="B14" s="470"/>
      <c r="C14" s="470"/>
      <c r="D14" s="470"/>
      <c r="E14" s="470"/>
      <c r="F14" s="470"/>
      <c r="G14" s="470"/>
      <c r="H14" s="470"/>
      <c r="I14" s="470"/>
      <c r="J14" s="470"/>
      <c r="K14" s="249"/>
      <c r="L14" s="250" t="s">
        <v>5</v>
      </c>
      <c r="M14" s="247">
        <f>ТИТУЛ!CO20</f>
        <v>5239009749</v>
      </c>
      <c r="N14" s="78"/>
    </row>
    <row r="15" spans="1:14" ht="15" customHeight="1" x14ac:dyDescent="0.3">
      <c r="A15" s="472"/>
      <c r="B15" s="470"/>
      <c r="C15" s="470"/>
      <c r="D15" s="470"/>
      <c r="E15" s="470"/>
      <c r="F15" s="470"/>
      <c r="G15" s="470"/>
      <c r="H15" s="470"/>
      <c r="I15" s="470"/>
      <c r="J15" s="470"/>
      <c r="K15" s="249"/>
      <c r="L15" s="251" t="s">
        <v>6</v>
      </c>
      <c r="M15" s="254">
        <v>523901001</v>
      </c>
      <c r="N15" s="78"/>
    </row>
    <row r="16" spans="1:14" ht="15" customHeight="1" thickBot="1" x14ac:dyDescent="0.3">
      <c r="A16" s="436" t="s">
        <v>805</v>
      </c>
      <c r="B16" s="426" t="s">
        <v>189</v>
      </c>
      <c r="C16" s="426" t="s">
        <v>304</v>
      </c>
      <c r="D16" s="433" t="s">
        <v>12</v>
      </c>
      <c r="E16" s="426" t="s">
        <v>809</v>
      </c>
      <c r="F16" s="439" t="str">
        <f>CONCATENATE("Остаток субсидий на начало ",ТИТУЛ!DF10," Г.")</f>
        <v>Остаток субсидий на начало 2021 Г.</v>
      </c>
      <c r="G16" s="439" t="str">
        <f>CONCATENATE("Дебиторская задолженность в ",ТИТУЛ!DF10," Г.")</f>
        <v>Дебиторская задолженность в 2021 Г.</v>
      </c>
      <c r="H16" s="362" t="s">
        <v>729</v>
      </c>
      <c r="I16" s="444"/>
      <c r="J16" s="444"/>
      <c r="K16" s="444"/>
      <c r="L16" s="444"/>
      <c r="M16" s="445"/>
      <c r="N16" s="21"/>
    </row>
    <row r="17" spans="1:16" ht="15" customHeight="1" x14ac:dyDescent="0.25">
      <c r="A17" s="431"/>
      <c r="B17" s="429"/>
      <c r="C17" s="431"/>
      <c r="D17" s="434"/>
      <c r="E17" s="427"/>
      <c r="F17" s="440"/>
      <c r="G17" s="440"/>
      <c r="H17" s="448" t="str">
        <f>CONCATENATE(ТИТУЛ!$DF$10," Г.")</f>
        <v>2021 Г.</v>
      </c>
      <c r="I17" s="449"/>
      <c r="J17" s="450" t="str">
        <f>CONCATENATE(ТИТУЛ!$DF$10+1," Г.")</f>
        <v>2022 Г.</v>
      </c>
      <c r="K17" s="451"/>
      <c r="L17" s="451" t="str">
        <f>CONCATENATE(ТИТУЛ!$DF$10+2," Г.")</f>
        <v>2023 Г.</v>
      </c>
      <c r="M17" s="451"/>
    </row>
    <row r="18" spans="1:16" ht="15" customHeight="1" x14ac:dyDescent="0.25">
      <c r="A18" s="432"/>
      <c r="B18" s="430"/>
      <c r="C18" s="432"/>
      <c r="D18" s="435"/>
      <c r="E18" s="428"/>
      <c r="F18" s="440"/>
      <c r="G18" s="440"/>
      <c r="H18" s="146" t="s">
        <v>11</v>
      </c>
      <c r="I18" s="147" t="s">
        <v>10</v>
      </c>
      <c r="J18" s="128" t="s">
        <v>11</v>
      </c>
      <c r="K18" s="208" t="s">
        <v>10</v>
      </c>
      <c r="L18" s="208" t="s">
        <v>11</v>
      </c>
      <c r="M18" s="208" t="s">
        <v>10</v>
      </c>
      <c r="N18" s="18">
        <f>ROW()</f>
        <v>18</v>
      </c>
    </row>
    <row r="19" spans="1:16" ht="15" customHeight="1" x14ac:dyDescent="0.25">
      <c r="A19" s="209" t="str">
        <f t="array" ref="A19:A69">IFERROR(INDEX(КБК!$E$828:$E$887,SMALL(IF(((NOT(ISERR(SEARCH(ПОКАЗАТЕЛИ!O1,КБК!$D$828:$D$887))))),ROW(КБК!$E$828:$E$887)-КБК!$A$828+1,""),ROW()-N18)),"")</f>
        <v>городская среда 7770674650.150.0</v>
      </c>
      <c r="B19" s="119" t="str">
        <f t="array" ref="B19:B69">IFERROR(INDEX(КБК!$H$828:$H$887,SMALL(IF(((NOT(ISERR(SEARCH(ПОКАЗАТЕЛИ!O1,КБК!$D$828:$D$887))))),ROW(КБК!$G$828:$G$887)-КБК!$A$828+1,""),ROW()-N18)),"")</f>
        <v>0503</v>
      </c>
      <c r="C19" s="119">
        <f t="array" ref="C19:C69">IFERROR(INDEX(КБК!$G$828:$G$887,SMALL(IF(((NOT(ISERR(SEARCH(ПОКАЗАТЕЛИ!O1,КБК!$D$828:$D$887))))),ROW(КБК!$G$828:$G$887)-КБК!$A$828+1,""),ROW()-N18)),"")</f>
        <v>150</v>
      </c>
      <c r="D19" s="119">
        <f t="array" ref="D19:D69">IFERROR(INDEX(КБК!$F$828:$F$887,SMALL(IF(((NOT(ISERR(SEARCH(ПОКАЗАТЕЛИ!O1,КБК!$D$828:$D$887))))),ROW(КБК!$G$828:$G$887)-КБК!$A$828+1,""),ROW()-N18)),"")</f>
        <v>152</v>
      </c>
      <c r="E19" s="120"/>
      <c r="F19" s="216" t="str">
        <f>IFERROR(INDEX(ПОКАЗАТЕЛИ!$A$6:$H$20,MATCH(1,INDEX((A19=ПОКАЗАТЕЛИ!$A$6:$A$20)*(C19=ПОКАЗАТЕЛИ!$C$6:$C$20)*(D19=ПОКАЗАТЕЛИ!$D$6:$D$20),),0),6),"")</f>
        <v/>
      </c>
      <c r="G19" s="194"/>
      <c r="H19" s="217">
        <f>IFERROR(INDEX(ПОКАЗАТЕЛИ!$A$21:$H$73,MATCH(1,INDEX((A19=ПОКАЗАТЕЛИ!$A$21:$A$73)*(C19=ПОКАЗАТЕЛИ!$C$21:$C$73)*(D19=ПОКАЗАТЕЛИ!$D$21:$D$73),),0),6),"")</f>
        <v>47426200</v>
      </c>
      <c r="I19" s="218" t="str">
        <f>IFERROR(INDEX(ПОКАЗАТЕЛИ!$A$74:$H$299,MATCH(1,INDEX((A19=ПОКАЗАТЕЛИ!$A$74:$A$299)*(C19=ПОКАЗАТЕЛИ!$C$74:$C$299)*(D19=ПОКАЗАТЕЛИ!$D$74:$D$299),),0),6),"")</f>
        <v/>
      </c>
      <c r="J19" s="129">
        <f>IFERROR(INDEX(ПОКАЗАТЕЛИ!$A$21:$H$73,MATCH(1,INDEX((A19=ПОКАЗАТЕЛИ!$A$21:$A$73)*(C19=ПОКАЗАТЕЛИ!$C$21:$C$73)*(D19=ПОКАЗАТЕЛИ!$D$21:$D$73),),0),7),"")</f>
        <v>0</v>
      </c>
      <c r="K19" s="196" t="str">
        <f>IFERROR(INDEX(ПОКАЗАТЕЛИ!$A$74:$H$299,MATCH(1,INDEX((A19=ПОКАЗАТЕЛИ!$A$74:$A$299)*(C19=ПОКАЗАТЕЛИ!$C$74:$C$299)*(D19=ПОКАЗАТЕЛИ!$D$74:$D$299),),0),7),"")</f>
        <v/>
      </c>
      <c r="L19" s="196">
        <f>IFERROR(INDEX(ПОКАЗАТЕЛИ!$A$21:$H$73,MATCH(1,INDEX((A19=ПОКАЗАТЕЛИ!$A$21:$A$73)*(C19=ПОКАЗАТЕЛИ!$C$21:$C$73)*(D19=ПОКАЗАТЕЛИ!$D$21:$D$73),),0),8),"")</f>
        <v>0</v>
      </c>
      <c r="M19" s="196" t="str">
        <f>IFERROR(INDEX(ПОКАЗАТЕЛИ!$A$74:$H$299,MATCH(1,INDEX((A19=ПОКАЗАТЕЛИ!$A$74:$A$299)*(C19=ПОКАЗАТЕЛИ!$C$74:$C$299)*(D19=ПОКАЗАТЕЛИ!$D$74:$D$299),),0),8),"")</f>
        <v/>
      </c>
      <c r="N19" s="239"/>
      <c r="O19" s="238"/>
      <c r="P19" s="238"/>
    </row>
    <row r="20" spans="1:16" ht="15" customHeight="1" x14ac:dyDescent="0.25">
      <c r="A20" s="209" t="str">
        <v>городская среда 7770674650.244.0</v>
      </c>
      <c r="B20" s="119" t="str">
        <v>0503</v>
      </c>
      <c r="C20" s="119">
        <v>244</v>
      </c>
      <c r="D20" s="119">
        <v>226</v>
      </c>
      <c r="E20" s="120"/>
      <c r="F20" s="216" t="str">
        <f>IFERROR(INDEX(ПОКАЗАТЕЛИ!$A$6:$H$20,MATCH(1,INDEX((A20=ПОКАЗАТЕЛИ!$A$6:$A$20)*(C20=ПОКАЗАТЕЛИ!$C$6:$C$20)*(D20=ПОКАЗАТЕЛИ!$D$6:$D$20),),0),6),"")</f>
        <v/>
      </c>
      <c r="G20" s="194"/>
      <c r="H20" s="217" t="str">
        <f>IFERROR(INDEX(ПОКАЗАТЕЛИ!$A$21:$H$73,MATCH(1,INDEX((A20=ПОКАЗАТЕЛИ!$A$21:$A$73)*(C20=ПОКАЗАТЕЛИ!$C$21:$C$73)*(D20=ПОКАЗАТЕЛИ!$D$21:$D$73),),0),6),"")</f>
        <v/>
      </c>
      <c r="I20" s="218">
        <f>IFERROR(INDEX(ПОКАЗАТЕЛИ!$A$74:$H$299,MATCH(1,INDEX((A20=ПОКАЗАТЕЛИ!$A$74:$A$299)*(C20=ПОКАЗАТЕЛИ!$C$74:$C$299)*(D20=ПОКАЗАТЕЛИ!$D$74:$D$299),),0),6),"")</f>
        <v>47426200</v>
      </c>
      <c r="J20" s="129" t="str">
        <f>IFERROR(INDEX(ПОКАЗАТЕЛИ!$A$21:$H$73,MATCH(1,INDEX((A20=ПОКАЗАТЕЛИ!$A$21:$A$73)*(C20=ПОКАЗАТЕЛИ!$C$21:$C$73)*(D20=ПОКАЗАТЕЛИ!$D$21:$D$73),),0),7),"")</f>
        <v/>
      </c>
      <c r="K20" s="196">
        <f>IFERROR(INDEX(ПОКАЗАТЕЛИ!$A$74:$H$299,MATCH(1,INDEX((A20=ПОКАЗАТЕЛИ!$A$74:$A$299)*(C20=ПОКАЗАТЕЛИ!$C$74:$C$299)*(D20=ПОКАЗАТЕЛИ!$D$74:$D$299),),0),7),"")</f>
        <v>0</v>
      </c>
      <c r="L20" s="196" t="str">
        <f>IFERROR(INDEX(ПОКАЗАТЕЛИ!$A$21:$H$73,MATCH(1,INDEX((A20=ПОКАЗАТЕЛИ!$A$21:$A$73)*(C20=ПОКАЗАТЕЛИ!$C$21:$C$73)*(D20=ПОКАЗАТЕЛИ!$D$21:$D$73),),0),8),"")</f>
        <v/>
      </c>
      <c r="M20" s="196">
        <f>IFERROR(INDEX(ПОКАЗАТЕЛИ!$A$74:$H$299,MATCH(1,INDEX((A20=ПОКАЗАТЕЛИ!$A$74:$A$299)*(C20=ПОКАЗАТЕЛИ!$C$74:$C$299)*(D20=ПОКАЗАТЕЛИ!$D$74:$D$299),),0),8),"")</f>
        <v>0</v>
      </c>
      <c r="N20" s="238"/>
      <c r="O20" s="238"/>
      <c r="P20" s="238"/>
    </row>
    <row r="21" spans="1:16" ht="15" customHeight="1" x14ac:dyDescent="0.25">
      <c r="A21" s="209" t="str">
        <v>комфорт 777F254240.510.0</v>
      </c>
      <c r="B21" s="119" t="str">
        <v>0505</v>
      </c>
      <c r="C21" s="119">
        <v>510</v>
      </c>
      <c r="D21" s="119">
        <v>510</v>
      </c>
      <c r="E21" s="120"/>
      <c r="F21" s="216">
        <f>IFERROR(INDEX(ПОКАЗАТЕЛИ!$A$6:$H$20,MATCH(1,INDEX((A21=ПОКАЗАТЕЛИ!$A$6:$A$20)*(C21=ПОКАЗАТЕЛИ!$C$6:$C$20)*(D21=ПОКАЗАТЕЛИ!$D$6:$D$20),),0),6),"")</f>
        <v>45000000</v>
      </c>
      <c r="G21" s="194"/>
      <c r="H21" s="217" t="str">
        <f>IFERROR(INDEX(ПОКАЗАТЕЛИ!$A$21:$H$73,MATCH(1,INDEX((A21=ПОКАЗАТЕЛИ!$A$21:$A$73)*(C21=ПОКАЗАТЕЛИ!$C$21:$C$73)*(D21=ПОКАЗАТЕЛИ!$D$21:$D$73),),0),6),"")</f>
        <v/>
      </c>
      <c r="I21" s="218" t="str">
        <f>IFERROR(INDEX(ПОКАЗАТЕЛИ!$A$74:$H$299,MATCH(1,INDEX((A21=ПОКАЗАТЕЛИ!$A$74:$A$299)*(C21=ПОКАЗАТЕЛИ!$C$74:$C$299)*(D21=ПОКАЗАТЕЛИ!$D$74:$D$299),),0),6),"")</f>
        <v/>
      </c>
      <c r="J21" s="129" t="str">
        <f>IFERROR(INDEX(ПОКАЗАТЕЛИ!$A$21:$H$73,MATCH(1,INDEX((A21=ПОКАЗАТЕЛИ!$A$21:$A$73)*(C21=ПОКАЗАТЕЛИ!$C$21:$C$73)*(D21=ПОКАЗАТЕЛИ!$D$21:$D$73),),0),7),"")</f>
        <v/>
      </c>
      <c r="K21" s="196" t="str">
        <f>IFERROR(INDEX(ПОКАЗАТЕЛИ!$A$74:$H$299,MATCH(1,INDEX((A21=ПОКАЗАТЕЛИ!$A$74:$A$299)*(C21=ПОКАЗАТЕЛИ!$C$74:$C$299)*(D21=ПОКАЗАТЕЛИ!$D$74:$D$299),),0),7),"")</f>
        <v/>
      </c>
      <c r="L21" s="196" t="str">
        <f>IFERROR(INDEX(ПОКАЗАТЕЛИ!$A$21:$H$73,MATCH(1,INDEX((A21=ПОКАЗАТЕЛИ!$A$21:$A$73)*(C21=ПОКАЗАТЕЛИ!$C$21:$C$73)*(D21=ПОКАЗАТЕЛИ!$D$21:$D$73),),0),8),"")</f>
        <v/>
      </c>
      <c r="M21" s="196" t="str">
        <f>IFERROR(INDEX(ПОКАЗАТЕЛИ!$A$74:$H$299,MATCH(1,INDEX((A21=ПОКАЗАТЕЛИ!$A$74:$A$299)*(C21=ПОКАЗАТЕЛИ!$C$74:$C$299)*(D21=ПОКАЗАТЕЛИ!$D$74:$D$299),),0),8),"")</f>
        <v/>
      </c>
    </row>
    <row r="22" spans="1:16" ht="15" customHeight="1" x14ac:dyDescent="0.25">
      <c r="A22" s="209" t="str">
        <v>комфорт 777F254240.244.0</v>
      </c>
      <c r="B22" s="119" t="str">
        <v>0505</v>
      </c>
      <c r="C22" s="119">
        <v>244</v>
      </c>
      <c r="D22" s="119">
        <v>226</v>
      </c>
      <c r="E22" s="120"/>
      <c r="F22" s="216" t="str">
        <f>IFERROR(INDEX(ПОКАЗАТЕЛИ!$A$6:$H$20,MATCH(1,INDEX((A22=ПОКАЗАТЕЛИ!$A$6:$A$20)*(C22=ПОКАЗАТЕЛИ!$C$6:$C$20)*(D22=ПОКАЗАТЕЛИ!$D$6:$D$20),),0),6),"")</f>
        <v/>
      </c>
      <c r="G22" s="194"/>
      <c r="H22" s="217" t="str">
        <f>IFERROR(INDEX(ПОКАЗАТЕЛИ!$A$21:$H$73,MATCH(1,INDEX((A22=ПОКАЗАТЕЛИ!$A$21:$A$73)*(C22=ПОКАЗАТЕЛИ!$C$21:$C$73)*(D22=ПОКАЗАТЕЛИ!$D$21:$D$73),),0),6),"")</f>
        <v/>
      </c>
      <c r="I22" s="218">
        <f>IFERROR(INDEX(ПОКАЗАТЕЛИ!$A$74:$H$299,MATCH(1,INDEX((A22=ПОКАЗАТЕЛИ!$A$74:$A$299)*(C22=ПОКАЗАТЕЛИ!$C$74:$C$299)*(D22=ПОКАЗАТЕЛИ!$D$74:$D$299),),0),6),"")</f>
        <v>45000000</v>
      </c>
      <c r="J22" s="129" t="str">
        <f>IFERROR(INDEX(ПОКАЗАТЕЛИ!$A$21:$H$73,MATCH(1,INDEX((A22=ПОКАЗАТЕЛИ!$A$21:$A$73)*(C22=ПОКАЗАТЕЛИ!$C$21:$C$73)*(D22=ПОКАЗАТЕЛИ!$D$21:$D$73),),0),7),"")</f>
        <v/>
      </c>
      <c r="K22" s="196">
        <f>IFERROR(INDEX(ПОКАЗАТЕЛИ!$A$74:$H$299,MATCH(1,INDEX((A22=ПОКАЗАТЕЛИ!$A$74:$A$299)*(C22=ПОКАЗАТЕЛИ!$C$74:$C$299)*(D22=ПОКАЗАТЕЛИ!$D$74:$D$299),),0),7),"")</f>
        <v>0</v>
      </c>
      <c r="L22" s="196" t="str">
        <f>IFERROR(INDEX(ПОКАЗАТЕЛИ!$A$21:$H$73,MATCH(1,INDEX((A22=ПОКАЗАТЕЛИ!$A$21:$A$73)*(C22=ПОКАЗАТЕЛИ!$C$21:$C$73)*(D22=ПОКАЗАТЕЛИ!$D$21:$D$73),),0),8),"")</f>
        <v/>
      </c>
      <c r="M22" s="196">
        <f>IFERROR(INDEX(ПОКАЗАТЕЛИ!$A$74:$H$299,MATCH(1,INDEX((A22=ПОКАЗАТЕЛИ!$A$74:$A$299)*(C22=ПОКАЗАТЕЛИ!$C$74:$C$299)*(D22=ПОКАЗАТЕЛИ!$D$74:$D$299),),0),8),"")</f>
        <v>0</v>
      </c>
    </row>
    <row r="23" spans="1:16" ht="15" customHeight="1" x14ac:dyDescent="0.25">
      <c r="A23" s="209" t="str">
        <v/>
      </c>
      <c r="B23" s="119" t="str">
        <v/>
      </c>
      <c r="C23" s="119" t="str">
        <v/>
      </c>
      <c r="D23" s="119" t="str">
        <v/>
      </c>
      <c r="E23" s="120"/>
      <c r="F23" s="216" t="str">
        <f>IFERROR(INDEX(ПОКАЗАТЕЛИ!$A$6:$H$20,MATCH(1,INDEX((A23=ПОКАЗАТЕЛИ!$A$6:$A$20)*(C23=ПОКАЗАТЕЛИ!$C$6:$C$20)*(D23=ПОКАЗАТЕЛИ!$D$6:$D$20),),0),6),"")</f>
        <v/>
      </c>
      <c r="G23" s="194"/>
      <c r="H23" s="217" t="str">
        <f>IFERROR(INDEX(ПОКАЗАТЕЛИ!$A$21:$H$73,MATCH(1,INDEX((A23=ПОКАЗАТЕЛИ!$A$21:$A$73)*(C23=ПОКАЗАТЕЛИ!$C$21:$C$73)*(D23=ПОКАЗАТЕЛИ!$D$21:$D$73),),0),6),"")</f>
        <v/>
      </c>
      <c r="I23" s="218" t="str">
        <f>IFERROR(INDEX(ПОКАЗАТЕЛИ!$A$74:$H$299,MATCH(1,INDEX((A23=ПОКАЗАТЕЛИ!$A$74:$A$299)*(C23=ПОКАЗАТЕЛИ!$C$74:$C$299)*(D23=ПОКАЗАТЕЛИ!$D$74:$D$299),),0),6),"")</f>
        <v/>
      </c>
      <c r="J23" s="129" t="str">
        <f>IFERROR(INDEX(ПОКАЗАТЕЛИ!$A$21:$H$73,MATCH(1,INDEX((A23=ПОКАЗАТЕЛИ!$A$21:$A$73)*(C23=ПОКАЗАТЕЛИ!$C$21:$C$73)*(D23=ПОКАЗАТЕЛИ!$D$21:$D$73),),0),7),"")</f>
        <v/>
      </c>
      <c r="K23" s="196" t="str">
        <f>IFERROR(INDEX(ПОКАЗАТЕЛИ!$A$74:$H$299,MATCH(1,INDEX((A23=ПОКАЗАТЕЛИ!$A$74:$A$299)*(C23=ПОКАЗАТЕЛИ!$C$74:$C$299)*(D23=ПОКАЗАТЕЛИ!$D$74:$D$299),),0),7),"")</f>
        <v/>
      </c>
      <c r="L23" s="196" t="str">
        <f>IFERROR(INDEX(ПОКАЗАТЕЛИ!$A$21:$H$73,MATCH(1,INDEX((A23=ПОКАЗАТЕЛИ!$A$21:$A$73)*(C23=ПОКАЗАТЕЛИ!$C$21:$C$73)*(D23=ПОКАЗАТЕЛИ!$D$21:$D$73),),0),8),"")</f>
        <v/>
      </c>
      <c r="M23" s="196" t="str">
        <f>IFERROR(INDEX(ПОКАЗАТЕЛИ!$A$74:$H$299,MATCH(1,INDEX((A23=ПОКАЗАТЕЛИ!$A$74:$A$299)*(C23=ПОКАЗАТЕЛИ!$C$74:$C$299)*(D23=ПОКАЗАТЕЛИ!$D$74:$D$299),),0),8),"")</f>
        <v/>
      </c>
    </row>
    <row r="24" spans="1:16" ht="15" customHeight="1" x14ac:dyDescent="0.25">
      <c r="A24" s="209" t="str">
        <v/>
      </c>
      <c r="B24" s="119" t="str">
        <v/>
      </c>
      <c r="C24" s="119" t="str">
        <v/>
      </c>
      <c r="D24" s="119" t="str">
        <v/>
      </c>
      <c r="E24" s="120"/>
      <c r="F24" s="216" t="str">
        <f>IFERROR(INDEX(ПОКАЗАТЕЛИ!$A$6:$H$20,MATCH(1,INDEX((A24=ПОКАЗАТЕЛИ!$A$6:$A$20)*(C24=ПОКАЗАТЕЛИ!$C$6:$C$20)*(D24=ПОКАЗАТЕЛИ!$D$6:$D$20),),0),6),"")</f>
        <v/>
      </c>
      <c r="G24" s="194"/>
      <c r="H24" s="217" t="str">
        <f>IFERROR(INDEX(ПОКАЗАТЕЛИ!$A$21:$H$73,MATCH(1,INDEX((A24=ПОКАЗАТЕЛИ!$A$21:$A$73)*(C24=ПОКАЗАТЕЛИ!$C$21:$C$73)*(D24=ПОКАЗАТЕЛИ!$D$21:$D$73),),0),6),"")</f>
        <v/>
      </c>
      <c r="I24" s="218" t="str">
        <f>IFERROR(INDEX(ПОКАЗАТЕЛИ!$A$74:$H$299,MATCH(1,INDEX((A24=ПОКАЗАТЕЛИ!$A$74:$A$299)*(C24=ПОКАЗАТЕЛИ!$C$74:$C$299)*(D24=ПОКАЗАТЕЛИ!$D$74:$D$299),),0),6),"")</f>
        <v/>
      </c>
      <c r="J24" s="129" t="str">
        <f>IFERROR(INDEX(ПОКАЗАТЕЛИ!$A$21:$H$73,MATCH(1,INDEX((A24=ПОКАЗАТЕЛИ!$A$21:$A$73)*(C24=ПОКАЗАТЕЛИ!$C$21:$C$73)*(D24=ПОКАЗАТЕЛИ!$D$21:$D$73),),0),7),"")</f>
        <v/>
      </c>
      <c r="K24" s="196" t="str">
        <f>IFERROR(INDEX(ПОКАЗАТЕЛИ!$A$74:$H$299,MATCH(1,INDEX((A24=ПОКАЗАТЕЛИ!$A$74:$A$299)*(C24=ПОКАЗАТЕЛИ!$C$74:$C$299)*(D24=ПОКАЗАТЕЛИ!$D$74:$D$299),),0),7),"")</f>
        <v/>
      </c>
      <c r="L24" s="196" t="str">
        <f>IFERROR(INDEX(ПОКАЗАТЕЛИ!$A$21:$H$73,MATCH(1,INDEX((A24=ПОКАЗАТЕЛИ!$A$21:$A$73)*(C24=ПОКАЗАТЕЛИ!$C$21:$C$73)*(D24=ПОКАЗАТЕЛИ!$D$21:$D$73),),0),8),"")</f>
        <v/>
      </c>
      <c r="M24" s="196" t="str">
        <f>IFERROR(INDEX(ПОКАЗАТЕЛИ!$A$74:$H$299,MATCH(1,INDEX((A24=ПОКАЗАТЕЛИ!$A$74:$A$299)*(C24=ПОКАЗАТЕЛИ!$C$74:$C$299)*(D24=ПОКАЗАТЕЛИ!$D$74:$D$299),),0),8),"")</f>
        <v/>
      </c>
    </row>
    <row r="25" spans="1:16" ht="15" customHeight="1" x14ac:dyDescent="0.25">
      <c r="A25" s="209" t="str">
        <v/>
      </c>
      <c r="B25" s="119" t="str">
        <v/>
      </c>
      <c r="C25" s="119" t="str">
        <v/>
      </c>
      <c r="D25" s="119" t="str">
        <v/>
      </c>
      <c r="E25" s="120"/>
      <c r="F25" s="216" t="str">
        <f>IFERROR(INDEX(ПОКАЗАТЕЛИ!$A$6:$H$20,MATCH(1,INDEX((A25=ПОКАЗАТЕЛИ!$A$6:$A$20)*(C25=ПОКАЗАТЕЛИ!$C$6:$C$20)*(D25=ПОКАЗАТЕЛИ!$D$6:$D$20),),0),6),"")</f>
        <v/>
      </c>
      <c r="G25" s="194"/>
      <c r="H25" s="217" t="str">
        <f>IFERROR(INDEX(ПОКАЗАТЕЛИ!$A$21:$H$73,MATCH(1,INDEX((A25=ПОКАЗАТЕЛИ!$A$21:$A$73)*(C25=ПОКАЗАТЕЛИ!$C$21:$C$73)*(D25=ПОКАЗАТЕЛИ!$D$21:$D$73),),0),6),"")</f>
        <v/>
      </c>
      <c r="I25" s="218" t="str">
        <f>IFERROR(INDEX(ПОКАЗАТЕЛИ!$A$74:$H$299,MATCH(1,INDEX((A25=ПОКАЗАТЕЛИ!$A$74:$A$299)*(C25=ПОКАЗАТЕЛИ!$C$74:$C$299)*(D25=ПОКАЗАТЕЛИ!$D$74:$D$299),),0),6),"")</f>
        <v/>
      </c>
      <c r="J25" s="129" t="str">
        <f>IFERROR(INDEX(ПОКАЗАТЕЛИ!$A$21:$H$73,MATCH(1,INDEX((A25=ПОКАЗАТЕЛИ!$A$21:$A$73)*(C25=ПОКАЗАТЕЛИ!$C$21:$C$73)*(D25=ПОКАЗАТЕЛИ!$D$21:$D$73),),0),7),"")</f>
        <v/>
      </c>
      <c r="K25" s="196" t="str">
        <f>IFERROR(INDEX(ПОКАЗАТЕЛИ!$A$74:$H$299,MATCH(1,INDEX((A25=ПОКАЗАТЕЛИ!$A$74:$A$299)*(C25=ПОКАЗАТЕЛИ!$C$74:$C$299)*(D25=ПОКАЗАТЕЛИ!$D$74:$D$299),),0),7),"")</f>
        <v/>
      </c>
      <c r="L25" s="196" t="str">
        <f>IFERROR(INDEX(ПОКАЗАТЕЛИ!$A$21:$H$73,MATCH(1,INDEX((A25=ПОКАЗАТЕЛИ!$A$21:$A$73)*(C25=ПОКАЗАТЕЛИ!$C$21:$C$73)*(D25=ПОКАЗАТЕЛИ!$D$21:$D$73),),0),8),"")</f>
        <v/>
      </c>
      <c r="M25" s="196" t="str">
        <f>IFERROR(INDEX(ПОКАЗАТЕЛИ!$A$74:$H$299,MATCH(1,INDEX((A25=ПОКАЗАТЕЛИ!$A$74:$A$299)*(C25=ПОКАЗАТЕЛИ!$C$74:$C$299)*(D25=ПОКАЗАТЕЛИ!$D$74:$D$299),),0),8),"")</f>
        <v/>
      </c>
    </row>
    <row r="26" spans="1:16" ht="15" customHeight="1" x14ac:dyDescent="0.25">
      <c r="A26" s="209" t="str">
        <v/>
      </c>
      <c r="B26" s="119" t="str">
        <v/>
      </c>
      <c r="C26" s="119" t="str">
        <v/>
      </c>
      <c r="D26" s="119" t="str">
        <v/>
      </c>
      <c r="E26" s="120"/>
      <c r="F26" s="216" t="str">
        <f>IFERROR(INDEX(ПОКАЗАТЕЛИ!$A$6:$H$20,MATCH(1,INDEX((A26=ПОКАЗАТЕЛИ!$A$6:$A$20)*(C26=ПОКАЗАТЕЛИ!$C$6:$C$20)*(D26=ПОКАЗАТЕЛИ!$D$6:$D$20),),0),6),"")</f>
        <v/>
      </c>
      <c r="G26" s="194"/>
      <c r="H26" s="217" t="str">
        <f>IFERROR(INDEX(ПОКАЗАТЕЛИ!$A$21:$H$73,MATCH(1,INDEX((A26=ПОКАЗАТЕЛИ!$A$21:$A$73)*(C26=ПОКАЗАТЕЛИ!$C$21:$C$73)*(D26=ПОКАЗАТЕЛИ!$D$21:$D$73),),0),6),"")</f>
        <v/>
      </c>
      <c r="I26" s="218" t="str">
        <f>IFERROR(INDEX(ПОКАЗАТЕЛИ!$A$74:$H$299,MATCH(1,INDEX((A26=ПОКАЗАТЕЛИ!$A$74:$A$299)*(C26=ПОКАЗАТЕЛИ!$C$74:$C$299)*(D26=ПОКАЗАТЕЛИ!$D$74:$D$299),),0),6),"")</f>
        <v/>
      </c>
      <c r="J26" s="129" t="str">
        <f>IFERROR(INDEX(ПОКАЗАТЕЛИ!$A$21:$H$73,MATCH(1,INDEX((A26=ПОКАЗАТЕЛИ!$A$21:$A$73)*(C26=ПОКАЗАТЕЛИ!$C$21:$C$73)*(D26=ПОКАЗАТЕЛИ!$D$21:$D$73),),0),7),"")</f>
        <v/>
      </c>
      <c r="K26" s="196" t="str">
        <f>IFERROR(INDEX(ПОКАЗАТЕЛИ!$A$74:$H$299,MATCH(1,INDEX((A26=ПОКАЗАТЕЛИ!$A$74:$A$299)*(C26=ПОКАЗАТЕЛИ!$C$74:$C$299)*(D26=ПОКАЗАТЕЛИ!$D$74:$D$299),),0),7),"")</f>
        <v/>
      </c>
      <c r="L26" s="196" t="str">
        <f>IFERROR(INDEX(ПОКАЗАТЕЛИ!$A$21:$H$73,MATCH(1,INDEX((A26=ПОКАЗАТЕЛИ!$A$21:$A$73)*(C26=ПОКАЗАТЕЛИ!$C$21:$C$73)*(D26=ПОКАЗАТЕЛИ!$D$21:$D$73),),0),8),"")</f>
        <v/>
      </c>
      <c r="M26" s="196" t="str">
        <f>IFERROR(INDEX(ПОКАЗАТЕЛИ!$A$74:$H$299,MATCH(1,INDEX((A26=ПОКАЗАТЕЛИ!$A$74:$A$299)*(C26=ПОКАЗАТЕЛИ!$C$74:$C$299)*(D26=ПОКАЗАТЕЛИ!$D$74:$D$299),),0),8),"")</f>
        <v/>
      </c>
    </row>
    <row r="27" spans="1:16" ht="15" customHeight="1" x14ac:dyDescent="0.25">
      <c r="A27" s="209" t="str">
        <v/>
      </c>
      <c r="B27" s="119" t="str">
        <v/>
      </c>
      <c r="C27" s="119" t="str">
        <v/>
      </c>
      <c r="D27" s="119" t="str">
        <v/>
      </c>
      <c r="E27" s="120"/>
      <c r="F27" s="216" t="str">
        <f>IFERROR(INDEX(ПОКАЗАТЕЛИ!$A$6:$H$20,MATCH(1,INDEX((A27=ПОКАЗАТЕЛИ!$A$6:$A$20)*(C27=ПОКАЗАТЕЛИ!$C$6:$C$20)*(D27=ПОКАЗАТЕЛИ!$D$6:$D$20),),0),6),"")</f>
        <v/>
      </c>
      <c r="G27" s="194"/>
      <c r="H27" s="217" t="str">
        <f>IFERROR(INDEX(ПОКАЗАТЕЛИ!$A$21:$H$73,MATCH(1,INDEX((A27=ПОКАЗАТЕЛИ!$A$21:$A$73)*(C27=ПОКАЗАТЕЛИ!$C$21:$C$73)*(D27=ПОКАЗАТЕЛИ!$D$21:$D$73),),0),6),"")</f>
        <v/>
      </c>
      <c r="I27" s="218" t="str">
        <f>IFERROR(INDEX(ПОКАЗАТЕЛИ!$A$74:$H$299,MATCH(1,INDEX((A27=ПОКАЗАТЕЛИ!$A$74:$A$299)*(C27=ПОКАЗАТЕЛИ!$C$74:$C$299)*(D27=ПОКАЗАТЕЛИ!$D$74:$D$299),),0),6),"")</f>
        <v/>
      </c>
      <c r="J27" s="129" t="str">
        <f>IFERROR(INDEX(ПОКАЗАТЕЛИ!$A$21:$H$73,MATCH(1,INDEX((A27=ПОКАЗАТЕЛИ!$A$21:$A$73)*(C27=ПОКАЗАТЕЛИ!$C$21:$C$73)*(D27=ПОКАЗАТЕЛИ!$D$21:$D$73),),0),7),"")</f>
        <v/>
      </c>
      <c r="K27" s="196" t="str">
        <f>IFERROR(INDEX(ПОКАЗАТЕЛИ!$A$74:$H$299,MATCH(1,INDEX((A27=ПОКАЗАТЕЛИ!$A$74:$A$299)*(C27=ПОКАЗАТЕЛИ!$C$74:$C$299)*(D27=ПОКАЗАТЕЛИ!$D$74:$D$299),),0),7),"")</f>
        <v/>
      </c>
      <c r="L27" s="196" t="str">
        <f>IFERROR(INDEX(ПОКАЗАТЕЛИ!$A$21:$H$73,MATCH(1,INDEX((A27=ПОКАЗАТЕЛИ!$A$21:$A$73)*(C27=ПОКАЗАТЕЛИ!$C$21:$C$73)*(D27=ПОКАЗАТЕЛИ!$D$21:$D$73),),0),8),"")</f>
        <v/>
      </c>
      <c r="M27" s="196" t="str">
        <f>IFERROR(INDEX(ПОКАЗАТЕЛИ!$A$74:$H$299,MATCH(1,INDEX((A27=ПОКАЗАТЕЛИ!$A$74:$A$299)*(C27=ПОКАЗАТЕЛИ!$C$74:$C$299)*(D27=ПОКАЗАТЕЛИ!$D$74:$D$299),),0),8),"")</f>
        <v/>
      </c>
    </row>
    <row r="28" spans="1:16" ht="15" customHeight="1" x14ac:dyDescent="0.25">
      <c r="A28" s="209" t="str">
        <v/>
      </c>
      <c r="B28" s="119" t="str">
        <v/>
      </c>
      <c r="C28" s="119" t="str">
        <v/>
      </c>
      <c r="D28" s="119" t="str">
        <v/>
      </c>
      <c r="E28" s="120"/>
      <c r="F28" s="216" t="str">
        <f>IFERROR(INDEX(ПОКАЗАТЕЛИ!$A$6:$H$20,MATCH(1,INDEX((A28=ПОКАЗАТЕЛИ!$A$6:$A$20)*(C28=ПОКАЗАТЕЛИ!$C$6:$C$20)*(D28=ПОКАЗАТЕЛИ!$D$6:$D$20),),0),6),"")</f>
        <v/>
      </c>
      <c r="G28" s="194"/>
      <c r="H28" s="217" t="str">
        <f>IFERROR(INDEX(ПОКАЗАТЕЛИ!$A$21:$H$73,MATCH(1,INDEX((A28=ПОКАЗАТЕЛИ!$A$21:$A$73)*(C28=ПОКАЗАТЕЛИ!$C$21:$C$73)*(D28=ПОКАЗАТЕЛИ!$D$21:$D$73),),0),6),"")</f>
        <v/>
      </c>
      <c r="I28" s="218" t="str">
        <f>IFERROR(INDEX(ПОКАЗАТЕЛИ!$A$74:$H$299,MATCH(1,INDEX((A28=ПОКАЗАТЕЛИ!$A$74:$A$299)*(C28=ПОКАЗАТЕЛИ!$C$74:$C$299)*(D28=ПОКАЗАТЕЛИ!$D$74:$D$299),),0),6),"")</f>
        <v/>
      </c>
      <c r="J28" s="129" t="str">
        <f>IFERROR(INDEX(ПОКАЗАТЕЛИ!$A$21:$H$73,MATCH(1,INDEX((A28=ПОКАЗАТЕЛИ!$A$21:$A$73)*(C28=ПОКАЗАТЕЛИ!$C$21:$C$73)*(D28=ПОКАЗАТЕЛИ!$D$21:$D$73),),0),7),"")</f>
        <v/>
      </c>
      <c r="K28" s="196" t="str">
        <f>IFERROR(INDEX(ПОКАЗАТЕЛИ!$A$74:$H$299,MATCH(1,INDEX((A28=ПОКАЗАТЕЛИ!$A$74:$A$299)*(C28=ПОКАЗАТЕЛИ!$C$74:$C$299)*(D28=ПОКАЗАТЕЛИ!$D$74:$D$299),),0),7),"")</f>
        <v/>
      </c>
      <c r="L28" s="196" t="str">
        <f>IFERROR(INDEX(ПОКАЗАТЕЛИ!$A$21:$H$73,MATCH(1,INDEX((A28=ПОКАЗАТЕЛИ!$A$21:$A$73)*(C28=ПОКАЗАТЕЛИ!$C$21:$C$73)*(D28=ПОКАЗАТЕЛИ!$D$21:$D$73),),0),8),"")</f>
        <v/>
      </c>
      <c r="M28" s="196" t="str">
        <f>IFERROR(INDEX(ПОКАЗАТЕЛИ!$A$74:$H$299,MATCH(1,INDEX((A28=ПОКАЗАТЕЛИ!$A$74:$A$299)*(C28=ПОКАЗАТЕЛИ!$C$74:$C$299)*(D28=ПОКАЗАТЕЛИ!$D$74:$D$299),),0),8),"")</f>
        <v/>
      </c>
    </row>
    <row r="29" spans="1:16" ht="15" customHeight="1" x14ac:dyDescent="0.25">
      <c r="A29" s="209" t="str">
        <v/>
      </c>
      <c r="B29" s="119" t="str">
        <v/>
      </c>
      <c r="C29" s="119" t="str">
        <v/>
      </c>
      <c r="D29" s="119" t="str">
        <v/>
      </c>
      <c r="E29" s="120"/>
      <c r="F29" s="216" t="str">
        <f>IFERROR(INDEX(ПОКАЗАТЕЛИ!$A$6:$H$20,MATCH(1,INDEX((A29=ПОКАЗАТЕЛИ!$A$6:$A$20)*(C29=ПОКАЗАТЕЛИ!$C$6:$C$20)*(D29=ПОКАЗАТЕЛИ!$D$6:$D$20),),0),6),"")</f>
        <v/>
      </c>
      <c r="G29" s="194"/>
      <c r="H29" s="217" t="str">
        <f>IFERROR(INDEX(ПОКАЗАТЕЛИ!$A$21:$H$73,MATCH(1,INDEX((A29=ПОКАЗАТЕЛИ!$A$21:$A$73)*(C29=ПОКАЗАТЕЛИ!$C$21:$C$73)*(D29=ПОКАЗАТЕЛИ!$D$21:$D$73),),0),6),"")</f>
        <v/>
      </c>
      <c r="I29" s="218" t="str">
        <f>IFERROR(INDEX(ПОКАЗАТЕЛИ!$A$74:$H$299,MATCH(1,INDEX((A29=ПОКАЗАТЕЛИ!$A$74:$A$299)*(C29=ПОКАЗАТЕЛИ!$C$74:$C$299)*(D29=ПОКАЗАТЕЛИ!$D$74:$D$299),),0),6),"")</f>
        <v/>
      </c>
      <c r="J29" s="129" t="str">
        <f>IFERROR(INDEX(ПОКАЗАТЕЛИ!$A$21:$H$73,MATCH(1,INDEX((A29=ПОКАЗАТЕЛИ!$A$21:$A$73)*(C29=ПОКАЗАТЕЛИ!$C$21:$C$73)*(D29=ПОКАЗАТЕЛИ!$D$21:$D$73),),0),7),"")</f>
        <v/>
      </c>
      <c r="K29" s="196" t="str">
        <f>IFERROR(INDEX(ПОКАЗАТЕЛИ!$A$74:$H$299,MATCH(1,INDEX((A29=ПОКАЗАТЕЛИ!$A$74:$A$299)*(C29=ПОКАЗАТЕЛИ!$C$74:$C$299)*(D29=ПОКАЗАТЕЛИ!$D$74:$D$299),),0),7),"")</f>
        <v/>
      </c>
      <c r="L29" s="196" t="str">
        <f>IFERROR(INDEX(ПОКАЗАТЕЛИ!$A$21:$H$73,MATCH(1,INDEX((A29=ПОКАЗАТЕЛИ!$A$21:$A$73)*(C29=ПОКАЗАТЕЛИ!$C$21:$C$73)*(D29=ПОКАЗАТЕЛИ!$D$21:$D$73),),0),8),"")</f>
        <v/>
      </c>
      <c r="M29" s="196" t="str">
        <f>IFERROR(INDEX(ПОКАЗАТЕЛИ!$A$74:$H$299,MATCH(1,INDEX((A29=ПОКАЗАТЕЛИ!$A$74:$A$299)*(C29=ПОКАЗАТЕЛИ!$C$74:$C$299)*(D29=ПОКАЗАТЕЛИ!$D$74:$D$299),),0),8),"")</f>
        <v/>
      </c>
    </row>
    <row r="30" spans="1:16" ht="15" customHeight="1" x14ac:dyDescent="0.25">
      <c r="A30" s="209" t="str">
        <v/>
      </c>
      <c r="B30" s="119" t="str">
        <v/>
      </c>
      <c r="C30" s="119" t="str">
        <v/>
      </c>
      <c r="D30" s="119" t="str">
        <v/>
      </c>
      <c r="E30" s="120"/>
      <c r="F30" s="216" t="str">
        <f>IFERROR(INDEX(ПОКАЗАТЕЛИ!$A$6:$H$20,MATCH(1,INDEX((A30=ПОКАЗАТЕЛИ!$A$6:$A$20)*(C30=ПОКАЗАТЕЛИ!$C$6:$C$20)*(D30=ПОКАЗАТЕЛИ!$D$6:$D$20),),0),6),"")</f>
        <v/>
      </c>
      <c r="G30" s="194"/>
      <c r="H30" s="217" t="str">
        <f>IFERROR(INDEX(ПОКАЗАТЕЛИ!$A$21:$H$73,MATCH(1,INDEX((A30=ПОКАЗАТЕЛИ!$A$21:$A$73)*(C30=ПОКАЗАТЕЛИ!$C$21:$C$73)*(D30=ПОКАЗАТЕЛИ!$D$21:$D$73),),0),6),"")</f>
        <v/>
      </c>
      <c r="I30" s="218" t="str">
        <f>IFERROR(INDEX(ПОКАЗАТЕЛИ!$A$74:$H$299,MATCH(1,INDEX((A30=ПОКАЗАТЕЛИ!$A$74:$A$299)*(C30=ПОКАЗАТЕЛИ!$C$74:$C$299)*(D30=ПОКАЗАТЕЛИ!$D$74:$D$299),),0),6),"")</f>
        <v/>
      </c>
      <c r="J30" s="129" t="str">
        <f>IFERROR(INDEX(ПОКАЗАТЕЛИ!$A$21:$H$73,MATCH(1,INDEX((A30=ПОКАЗАТЕЛИ!$A$21:$A$73)*(C30=ПОКАЗАТЕЛИ!$C$21:$C$73)*(D30=ПОКАЗАТЕЛИ!$D$21:$D$73),),0),7),"")</f>
        <v/>
      </c>
      <c r="K30" s="196" t="str">
        <f>IFERROR(INDEX(ПОКАЗАТЕЛИ!$A$74:$H$299,MATCH(1,INDEX((A30=ПОКАЗАТЕЛИ!$A$74:$A$299)*(C30=ПОКАЗАТЕЛИ!$C$74:$C$299)*(D30=ПОКАЗАТЕЛИ!$D$74:$D$299),),0),7),"")</f>
        <v/>
      </c>
      <c r="L30" s="196" t="str">
        <f>IFERROR(INDEX(ПОКАЗАТЕЛИ!$A$21:$H$73,MATCH(1,INDEX((A30=ПОКАЗАТЕЛИ!$A$21:$A$73)*(C30=ПОКАЗАТЕЛИ!$C$21:$C$73)*(D30=ПОКАЗАТЕЛИ!$D$21:$D$73),),0),8),"")</f>
        <v/>
      </c>
      <c r="M30" s="196" t="str">
        <f>IFERROR(INDEX(ПОКАЗАТЕЛИ!$A$74:$H$299,MATCH(1,INDEX((A30=ПОКАЗАТЕЛИ!$A$74:$A$299)*(C30=ПОКАЗАТЕЛИ!$C$74:$C$299)*(D30=ПОКАЗАТЕЛИ!$D$74:$D$299),),0),8),"")</f>
        <v/>
      </c>
    </row>
    <row r="31" spans="1:16" ht="15" customHeight="1" x14ac:dyDescent="0.25">
      <c r="A31" s="209" t="str">
        <v/>
      </c>
      <c r="B31" s="119" t="str">
        <v/>
      </c>
      <c r="C31" s="119" t="str">
        <v/>
      </c>
      <c r="D31" s="119" t="str">
        <v/>
      </c>
      <c r="E31" s="120"/>
      <c r="F31" s="216" t="str">
        <f>IFERROR(INDEX(ПОКАЗАТЕЛИ!$A$6:$H$20,MATCH(1,INDEX((A31=ПОКАЗАТЕЛИ!$A$6:$A$20)*(C31=ПОКАЗАТЕЛИ!$C$6:$C$20)*(D31=ПОКАЗАТЕЛИ!$D$6:$D$20),),0),6),"")</f>
        <v/>
      </c>
      <c r="G31" s="194"/>
      <c r="H31" s="217" t="str">
        <f>IFERROR(INDEX(ПОКАЗАТЕЛИ!$A$21:$H$73,MATCH(1,INDEX((A31=ПОКАЗАТЕЛИ!$A$21:$A$73)*(C31=ПОКАЗАТЕЛИ!$C$21:$C$73)*(D31=ПОКАЗАТЕЛИ!$D$21:$D$73),),0),6),"")</f>
        <v/>
      </c>
      <c r="I31" s="218" t="str">
        <f>IFERROR(INDEX(ПОКАЗАТЕЛИ!$A$74:$H$299,MATCH(1,INDEX((A31=ПОКАЗАТЕЛИ!$A$74:$A$299)*(C31=ПОКАЗАТЕЛИ!$C$74:$C$299)*(D31=ПОКАЗАТЕЛИ!$D$74:$D$299),),0),6),"")</f>
        <v/>
      </c>
      <c r="J31" s="129" t="str">
        <f>IFERROR(INDEX(ПОКАЗАТЕЛИ!$A$21:$H$73,MATCH(1,INDEX((A31=ПОКАЗАТЕЛИ!$A$21:$A$73)*(C31=ПОКАЗАТЕЛИ!$C$21:$C$73)*(D31=ПОКАЗАТЕЛИ!$D$21:$D$73),),0),7),"")</f>
        <v/>
      </c>
      <c r="K31" s="196" t="str">
        <f>IFERROR(INDEX(ПОКАЗАТЕЛИ!$A$74:$H$299,MATCH(1,INDEX((A31=ПОКАЗАТЕЛИ!$A$74:$A$299)*(C31=ПОКАЗАТЕЛИ!$C$74:$C$299)*(D31=ПОКАЗАТЕЛИ!$D$74:$D$299),),0),7),"")</f>
        <v/>
      </c>
      <c r="L31" s="196" t="str">
        <f>IFERROR(INDEX(ПОКАЗАТЕЛИ!$A$21:$H$73,MATCH(1,INDEX((A31=ПОКАЗАТЕЛИ!$A$21:$A$73)*(C31=ПОКАЗАТЕЛИ!$C$21:$C$73)*(D31=ПОКАЗАТЕЛИ!$D$21:$D$73),),0),8),"")</f>
        <v/>
      </c>
      <c r="M31" s="196" t="str">
        <f>IFERROR(INDEX(ПОКАЗАТЕЛИ!$A$74:$H$299,MATCH(1,INDEX((A31=ПОКАЗАТЕЛИ!$A$74:$A$299)*(C31=ПОКАЗАТЕЛИ!$C$74:$C$299)*(D31=ПОКАЗАТЕЛИ!$D$74:$D$299),),0),8),"")</f>
        <v/>
      </c>
    </row>
    <row r="32" spans="1:16" ht="15" customHeight="1" x14ac:dyDescent="0.25">
      <c r="A32" s="209" t="str">
        <v/>
      </c>
      <c r="B32" s="119" t="str">
        <v/>
      </c>
      <c r="C32" s="119" t="str">
        <v/>
      </c>
      <c r="D32" s="119" t="str">
        <v/>
      </c>
      <c r="E32" s="120"/>
      <c r="F32" s="216" t="str">
        <f>IFERROR(INDEX(ПОКАЗАТЕЛИ!$A$6:$H$20,MATCH(1,INDEX((A32=ПОКАЗАТЕЛИ!$A$6:$A$20)*(C32=ПОКАЗАТЕЛИ!$C$6:$C$20)*(D32=ПОКАЗАТЕЛИ!$D$6:$D$20),),0),6),"")</f>
        <v/>
      </c>
      <c r="G32" s="194"/>
      <c r="H32" s="217" t="str">
        <f>IFERROR(INDEX(ПОКАЗАТЕЛИ!$A$21:$H$73,MATCH(1,INDEX((A32=ПОКАЗАТЕЛИ!$A$21:$A$73)*(C32=ПОКАЗАТЕЛИ!$C$21:$C$73)*(D32=ПОКАЗАТЕЛИ!$D$21:$D$73),),0),6),"")</f>
        <v/>
      </c>
      <c r="I32" s="218" t="str">
        <f>IFERROR(INDEX(ПОКАЗАТЕЛИ!$A$74:$H$299,MATCH(1,INDEX((A32=ПОКАЗАТЕЛИ!$A$74:$A$299)*(C32=ПОКАЗАТЕЛИ!$C$74:$C$299)*(D32=ПОКАЗАТЕЛИ!$D$74:$D$299),),0),6),"")</f>
        <v/>
      </c>
      <c r="J32" s="129" t="str">
        <f>IFERROR(INDEX(ПОКАЗАТЕЛИ!$A$21:$H$73,MATCH(1,INDEX((A32=ПОКАЗАТЕЛИ!$A$21:$A$73)*(C32=ПОКАЗАТЕЛИ!$C$21:$C$73)*(D32=ПОКАЗАТЕЛИ!$D$21:$D$73),),0),7),"")</f>
        <v/>
      </c>
      <c r="K32" s="196" t="str">
        <f>IFERROR(INDEX(ПОКАЗАТЕЛИ!$A$74:$H$299,MATCH(1,INDEX((A32=ПОКАЗАТЕЛИ!$A$74:$A$299)*(C32=ПОКАЗАТЕЛИ!$C$74:$C$299)*(D32=ПОКАЗАТЕЛИ!$D$74:$D$299),),0),7),"")</f>
        <v/>
      </c>
      <c r="L32" s="196" t="str">
        <f>IFERROR(INDEX(ПОКАЗАТЕЛИ!$A$21:$H$73,MATCH(1,INDEX((A32=ПОКАЗАТЕЛИ!$A$21:$A$73)*(C32=ПОКАЗАТЕЛИ!$C$21:$C$73)*(D32=ПОКАЗАТЕЛИ!$D$21:$D$73),),0),8),"")</f>
        <v/>
      </c>
      <c r="M32" s="196" t="str">
        <f>IFERROR(INDEX(ПОКАЗАТЕЛИ!$A$74:$H$299,MATCH(1,INDEX((A32=ПОКАЗАТЕЛИ!$A$74:$A$299)*(C32=ПОКАЗАТЕЛИ!$C$74:$C$299)*(D32=ПОКАЗАТЕЛИ!$D$74:$D$299),),0),8),"")</f>
        <v/>
      </c>
    </row>
    <row r="33" spans="1:13" ht="15" customHeight="1" x14ac:dyDescent="0.25">
      <c r="A33" s="209" t="str">
        <v/>
      </c>
      <c r="B33" s="119" t="str">
        <v/>
      </c>
      <c r="C33" s="119" t="str">
        <v/>
      </c>
      <c r="D33" s="119" t="str">
        <v/>
      </c>
      <c r="E33" s="120"/>
      <c r="F33" s="216" t="str">
        <f>IFERROR(INDEX(ПОКАЗАТЕЛИ!$A$6:$H$20,MATCH(1,INDEX((A33=ПОКАЗАТЕЛИ!$A$6:$A$20)*(C33=ПОКАЗАТЕЛИ!$C$6:$C$20)*(D33=ПОКАЗАТЕЛИ!$D$6:$D$20),),0),6),"")</f>
        <v/>
      </c>
      <c r="G33" s="194"/>
      <c r="H33" s="217" t="str">
        <f>IFERROR(INDEX(ПОКАЗАТЕЛИ!$A$21:$H$73,MATCH(1,INDEX((A33=ПОКАЗАТЕЛИ!$A$21:$A$73)*(C33=ПОКАЗАТЕЛИ!$C$21:$C$73)*(D33=ПОКАЗАТЕЛИ!$D$21:$D$73),),0),6),"")</f>
        <v/>
      </c>
      <c r="I33" s="218" t="str">
        <f>IFERROR(INDEX(ПОКАЗАТЕЛИ!$A$74:$H$299,MATCH(1,INDEX((A33=ПОКАЗАТЕЛИ!$A$74:$A$299)*(C33=ПОКАЗАТЕЛИ!$C$74:$C$299)*(D33=ПОКАЗАТЕЛИ!$D$74:$D$299),),0),6),"")</f>
        <v/>
      </c>
      <c r="J33" s="129" t="str">
        <f>IFERROR(INDEX(ПОКАЗАТЕЛИ!$A$21:$H$73,MATCH(1,INDEX((A33=ПОКАЗАТЕЛИ!$A$21:$A$73)*(C33=ПОКАЗАТЕЛИ!$C$21:$C$73)*(D33=ПОКАЗАТЕЛИ!$D$21:$D$73),),0),7),"")</f>
        <v/>
      </c>
      <c r="K33" s="196" t="str">
        <f>IFERROR(INDEX(ПОКАЗАТЕЛИ!$A$74:$H$299,MATCH(1,INDEX((A33=ПОКАЗАТЕЛИ!$A$74:$A$299)*(C33=ПОКАЗАТЕЛИ!$C$74:$C$299)*(D33=ПОКАЗАТЕЛИ!$D$74:$D$299),),0),7),"")</f>
        <v/>
      </c>
      <c r="L33" s="196" t="str">
        <f>IFERROR(INDEX(ПОКАЗАТЕЛИ!$A$21:$H$73,MATCH(1,INDEX((A33=ПОКАЗАТЕЛИ!$A$21:$A$73)*(C33=ПОКАЗАТЕЛИ!$C$21:$C$73)*(D33=ПОКАЗАТЕЛИ!$D$21:$D$73),),0),8),"")</f>
        <v/>
      </c>
      <c r="M33" s="196" t="str">
        <f>IFERROR(INDEX(ПОКАЗАТЕЛИ!$A$74:$H$299,MATCH(1,INDEX((A33=ПОКАЗАТЕЛИ!$A$74:$A$299)*(C33=ПОКАЗАТЕЛИ!$C$74:$C$299)*(D33=ПОКАЗАТЕЛИ!$D$74:$D$299),),0),8),"")</f>
        <v/>
      </c>
    </row>
    <row r="34" spans="1:13" ht="15" customHeight="1" x14ac:dyDescent="0.25">
      <c r="A34" s="209" t="str">
        <v/>
      </c>
      <c r="B34" s="119" t="str">
        <v/>
      </c>
      <c r="C34" s="119" t="str">
        <v/>
      </c>
      <c r="D34" s="119" t="str">
        <v/>
      </c>
      <c r="E34" s="120"/>
      <c r="F34" s="216" t="str">
        <f>IFERROR(INDEX(ПОКАЗАТЕЛИ!$A$6:$H$20,MATCH(1,INDEX((A34=ПОКАЗАТЕЛИ!$A$6:$A$20)*(C34=ПОКАЗАТЕЛИ!$C$6:$C$20)*(D34=ПОКАЗАТЕЛИ!$D$6:$D$20),),0),6),"")</f>
        <v/>
      </c>
      <c r="G34" s="194"/>
      <c r="H34" s="217" t="str">
        <f>IFERROR(INDEX(ПОКАЗАТЕЛИ!$A$21:$H$73,MATCH(1,INDEX((A34=ПОКАЗАТЕЛИ!$A$21:$A$73)*(C34=ПОКАЗАТЕЛИ!$C$21:$C$73)*(D34=ПОКАЗАТЕЛИ!$D$21:$D$73),),0),6),"")</f>
        <v/>
      </c>
      <c r="I34" s="218" t="str">
        <f>IFERROR(INDEX(ПОКАЗАТЕЛИ!$A$74:$H$299,MATCH(1,INDEX((A34=ПОКАЗАТЕЛИ!$A$74:$A$299)*(C34=ПОКАЗАТЕЛИ!$C$74:$C$299)*(D34=ПОКАЗАТЕЛИ!$D$74:$D$299),),0),6),"")</f>
        <v/>
      </c>
      <c r="J34" s="129" t="str">
        <f>IFERROR(INDEX(ПОКАЗАТЕЛИ!$A$21:$H$73,MATCH(1,INDEX((A34=ПОКАЗАТЕЛИ!$A$21:$A$73)*(C34=ПОКАЗАТЕЛИ!$C$21:$C$73)*(D34=ПОКАЗАТЕЛИ!$D$21:$D$73),),0),7),"")</f>
        <v/>
      </c>
      <c r="K34" s="196" t="str">
        <f>IFERROR(INDEX(ПОКАЗАТЕЛИ!$A$74:$H$299,MATCH(1,INDEX((A34=ПОКАЗАТЕЛИ!$A$74:$A$299)*(C34=ПОКАЗАТЕЛИ!$C$74:$C$299)*(D34=ПОКАЗАТЕЛИ!$D$74:$D$299),),0),7),"")</f>
        <v/>
      </c>
      <c r="L34" s="196" t="str">
        <f>IFERROR(INDEX(ПОКАЗАТЕЛИ!$A$21:$H$73,MATCH(1,INDEX((A34=ПОКАЗАТЕЛИ!$A$21:$A$73)*(C34=ПОКАЗАТЕЛИ!$C$21:$C$73)*(D34=ПОКАЗАТЕЛИ!$D$21:$D$73),),0),8),"")</f>
        <v/>
      </c>
      <c r="M34" s="196" t="str">
        <f>IFERROR(INDEX(ПОКАЗАТЕЛИ!$A$74:$H$299,MATCH(1,INDEX((A34=ПОКАЗАТЕЛИ!$A$74:$A$299)*(C34=ПОКАЗАТЕЛИ!$C$74:$C$299)*(D34=ПОКАЗАТЕЛИ!$D$74:$D$299),),0),8),"")</f>
        <v/>
      </c>
    </row>
    <row r="35" spans="1:13" ht="15" customHeight="1" x14ac:dyDescent="0.25">
      <c r="A35" s="209" t="str">
        <v/>
      </c>
      <c r="B35" s="119" t="str">
        <v/>
      </c>
      <c r="C35" s="119" t="str">
        <v/>
      </c>
      <c r="D35" s="119" t="str">
        <v/>
      </c>
      <c r="E35" s="120"/>
      <c r="F35" s="216" t="str">
        <f>IFERROR(INDEX(ПОКАЗАТЕЛИ!$A$6:$H$20,MATCH(1,INDEX((A35=ПОКАЗАТЕЛИ!$A$6:$A$20)*(C35=ПОКАЗАТЕЛИ!$C$6:$C$20)*(D35=ПОКАЗАТЕЛИ!$D$6:$D$20),),0),6),"")</f>
        <v/>
      </c>
      <c r="G35" s="194"/>
      <c r="H35" s="217" t="str">
        <f>IFERROR(INDEX(ПОКАЗАТЕЛИ!$A$21:$H$73,MATCH(1,INDEX((A35=ПОКАЗАТЕЛИ!$A$21:$A$73)*(C35=ПОКАЗАТЕЛИ!$C$21:$C$73)*(D35=ПОКАЗАТЕЛИ!$D$21:$D$73),),0),6),"")</f>
        <v/>
      </c>
      <c r="I35" s="218" t="str">
        <f>IFERROR(INDEX(ПОКАЗАТЕЛИ!$A$74:$H$299,MATCH(1,INDEX((A35=ПОКАЗАТЕЛИ!$A$74:$A$299)*(C35=ПОКАЗАТЕЛИ!$C$74:$C$299)*(D35=ПОКАЗАТЕЛИ!$D$74:$D$299),),0),6),"")</f>
        <v/>
      </c>
      <c r="J35" s="129" t="str">
        <f>IFERROR(INDEX(ПОКАЗАТЕЛИ!$A$21:$H$73,MATCH(1,INDEX((A35=ПОКАЗАТЕЛИ!$A$21:$A$73)*(C35=ПОКАЗАТЕЛИ!$C$21:$C$73)*(D35=ПОКАЗАТЕЛИ!$D$21:$D$73),),0),7),"")</f>
        <v/>
      </c>
      <c r="K35" s="196" t="str">
        <f>IFERROR(INDEX(ПОКАЗАТЕЛИ!$A$74:$H$299,MATCH(1,INDEX((A35=ПОКАЗАТЕЛИ!$A$74:$A$299)*(C35=ПОКАЗАТЕЛИ!$C$74:$C$299)*(D35=ПОКАЗАТЕЛИ!$D$74:$D$299),),0),7),"")</f>
        <v/>
      </c>
      <c r="L35" s="196" t="str">
        <f>IFERROR(INDEX(ПОКАЗАТЕЛИ!$A$21:$H$73,MATCH(1,INDEX((A35=ПОКАЗАТЕЛИ!$A$21:$A$73)*(C35=ПОКАЗАТЕЛИ!$C$21:$C$73)*(D35=ПОКАЗАТЕЛИ!$D$21:$D$73),),0),8),"")</f>
        <v/>
      </c>
      <c r="M35" s="196" t="str">
        <f>IFERROR(INDEX(ПОКАЗАТЕЛИ!$A$74:$H$299,MATCH(1,INDEX((A35=ПОКАЗАТЕЛИ!$A$74:$A$299)*(C35=ПОКАЗАТЕЛИ!$C$74:$C$299)*(D35=ПОКАЗАТЕЛИ!$D$74:$D$299),),0),8),"")</f>
        <v/>
      </c>
    </row>
    <row r="36" spans="1:13" ht="15" customHeight="1" x14ac:dyDescent="0.25">
      <c r="A36" s="209" t="str">
        <v/>
      </c>
      <c r="B36" s="119" t="str">
        <v/>
      </c>
      <c r="C36" s="119" t="str">
        <v/>
      </c>
      <c r="D36" s="119" t="str">
        <v/>
      </c>
      <c r="E36" s="120"/>
      <c r="F36" s="216" t="str">
        <f>IFERROR(INDEX(ПОКАЗАТЕЛИ!$A$6:$H$20,MATCH(1,INDEX((A36=ПОКАЗАТЕЛИ!$A$6:$A$20)*(C36=ПОКАЗАТЕЛИ!$C$6:$C$20)*(D36=ПОКАЗАТЕЛИ!$D$6:$D$20),),0),6),"")</f>
        <v/>
      </c>
      <c r="G36" s="194"/>
      <c r="H36" s="217" t="str">
        <f>IFERROR(INDEX(ПОКАЗАТЕЛИ!$A$21:$H$73,MATCH(1,INDEX((A36=ПОКАЗАТЕЛИ!$A$21:$A$73)*(C36=ПОКАЗАТЕЛИ!$C$21:$C$73)*(D36=ПОКАЗАТЕЛИ!$D$21:$D$73),),0),6),"")</f>
        <v/>
      </c>
      <c r="I36" s="218" t="str">
        <f>IFERROR(INDEX(ПОКАЗАТЕЛИ!$A$74:$H$299,MATCH(1,INDEX((A36=ПОКАЗАТЕЛИ!$A$74:$A$299)*(C36=ПОКАЗАТЕЛИ!$C$74:$C$299)*(D36=ПОКАЗАТЕЛИ!$D$74:$D$299),),0),6),"")</f>
        <v/>
      </c>
      <c r="J36" s="129" t="str">
        <f>IFERROR(INDEX(ПОКАЗАТЕЛИ!$A$21:$H$73,MATCH(1,INDEX((A36=ПОКАЗАТЕЛИ!$A$21:$A$73)*(C36=ПОКАЗАТЕЛИ!$C$21:$C$73)*(D36=ПОКАЗАТЕЛИ!$D$21:$D$73),),0),7),"")</f>
        <v/>
      </c>
      <c r="K36" s="196" t="str">
        <f>IFERROR(INDEX(ПОКАЗАТЕЛИ!$A$74:$H$299,MATCH(1,INDEX((A36=ПОКАЗАТЕЛИ!$A$74:$A$299)*(C36=ПОКАЗАТЕЛИ!$C$74:$C$299)*(D36=ПОКАЗАТЕЛИ!$D$74:$D$299),),0),7),"")</f>
        <v/>
      </c>
      <c r="L36" s="196" t="str">
        <f>IFERROR(INDEX(ПОКАЗАТЕЛИ!$A$21:$H$73,MATCH(1,INDEX((A36=ПОКАЗАТЕЛИ!$A$21:$A$73)*(C36=ПОКАЗАТЕЛИ!$C$21:$C$73)*(D36=ПОКАЗАТЕЛИ!$D$21:$D$73),),0),8),"")</f>
        <v/>
      </c>
      <c r="M36" s="196" t="str">
        <f>IFERROR(INDEX(ПОКАЗАТЕЛИ!$A$74:$H$299,MATCH(1,INDEX((A36=ПОКАЗАТЕЛИ!$A$74:$A$299)*(C36=ПОКАЗАТЕЛИ!$C$74:$C$299)*(D36=ПОКАЗАТЕЛИ!$D$74:$D$299),),0),8),"")</f>
        <v/>
      </c>
    </row>
    <row r="37" spans="1:13" ht="15" customHeight="1" x14ac:dyDescent="0.25">
      <c r="A37" s="209" t="str">
        <v/>
      </c>
      <c r="B37" s="119" t="str">
        <v/>
      </c>
      <c r="C37" s="119" t="str">
        <v/>
      </c>
      <c r="D37" s="119" t="str">
        <v/>
      </c>
      <c r="E37" s="120"/>
      <c r="F37" s="216" t="str">
        <f>IFERROR(INDEX(ПОКАЗАТЕЛИ!$A$6:$H$20,MATCH(1,INDEX((A37=ПОКАЗАТЕЛИ!$A$6:$A$20)*(C37=ПОКАЗАТЕЛИ!$C$6:$C$20)*(D37=ПОКАЗАТЕЛИ!$D$6:$D$20),),0),6),"")</f>
        <v/>
      </c>
      <c r="G37" s="194"/>
      <c r="H37" s="217" t="str">
        <f>IFERROR(INDEX(ПОКАЗАТЕЛИ!$A$21:$H$73,MATCH(1,INDEX((A37=ПОКАЗАТЕЛИ!$A$21:$A$73)*(C37=ПОКАЗАТЕЛИ!$C$21:$C$73)*(D37=ПОКАЗАТЕЛИ!$D$21:$D$73),),0),6),"")</f>
        <v/>
      </c>
      <c r="I37" s="218" t="str">
        <f>IFERROR(INDEX(ПОКАЗАТЕЛИ!$A$74:$H$299,MATCH(1,INDEX((A37=ПОКАЗАТЕЛИ!$A$74:$A$299)*(C37=ПОКАЗАТЕЛИ!$C$74:$C$299)*(D37=ПОКАЗАТЕЛИ!$D$74:$D$299),),0),6),"")</f>
        <v/>
      </c>
      <c r="J37" s="129" t="str">
        <f>IFERROR(INDEX(ПОКАЗАТЕЛИ!$A$21:$H$73,MATCH(1,INDEX((A37=ПОКАЗАТЕЛИ!$A$21:$A$73)*(C37=ПОКАЗАТЕЛИ!$C$21:$C$73)*(D37=ПОКАЗАТЕЛИ!$D$21:$D$73),),0),7),"")</f>
        <v/>
      </c>
      <c r="K37" s="196" t="str">
        <f>IFERROR(INDEX(ПОКАЗАТЕЛИ!$A$74:$H$299,MATCH(1,INDEX((A37=ПОКАЗАТЕЛИ!$A$74:$A$299)*(C37=ПОКАЗАТЕЛИ!$C$74:$C$299)*(D37=ПОКАЗАТЕЛИ!$D$74:$D$299),),0),7),"")</f>
        <v/>
      </c>
      <c r="L37" s="196" t="str">
        <f>IFERROR(INDEX(ПОКАЗАТЕЛИ!$A$21:$H$73,MATCH(1,INDEX((A37=ПОКАЗАТЕЛИ!$A$21:$A$73)*(C37=ПОКАЗАТЕЛИ!$C$21:$C$73)*(D37=ПОКАЗАТЕЛИ!$D$21:$D$73),),0),8),"")</f>
        <v/>
      </c>
      <c r="M37" s="196" t="str">
        <f>IFERROR(INDEX(ПОКАЗАТЕЛИ!$A$74:$H$299,MATCH(1,INDEX((A37=ПОКАЗАТЕЛИ!$A$74:$A$299)*(C37=ПОКАЗАТЕЛИ!$C$74:$C$299)*(D37=ПОКАЗАТЕЛИ!$D$74:$D$299),),0),8),"")</f>
        <v/>
      </c>
    </row>
    <row r="38" spans="1:13" ht="15" customHeight="1" x14ac:dyDescent="0.25">
      <c r="A38" s="209" t="str">
        <v/>
      </c>
      <c r="B38" s="119" t="str">
        <v/>
      </c>
      <c r="C38" s="119" t="str">
        <v/>
      </c>
      <c r="D38" s="119" t="str">
        <v/>
      </c>
      <c r="E38" s="120"/>
      <c r="F38" s="216" t="str">
        <f>IFERROR(INDEX(ПОКАЗАТЕЛИ!$A$6:$H$20,MATCH(1,INDEX((A38=ПОКАЗАТЕЛИ!$A$6:$A$20)*(C38=ПОКАЗАТЕЛИ!$C$6:$C$20)*(D38=ПОКАЗАТЕЛИ!$D$6:$D$20),),0),6),"")</f>
        <v/>
      </c>
      <c r="G38" s="194"/>
      <c r="H38" s="217" t="str">
        <f>IFERROR(INDEX(ПОКАЗАТЕЛИ!$A$21:$H$73,MATCH(1,INDEX((A38=ПОКАЗАТЕЛИ!$A$21:$A$73)*(C38=ПОКАЗАТЕЛИ!$C$21:$C$73)*(D38=ПОКАЗАТЕЛИ!$D$21:$D$73),),0),6),"")</f>
        <v/>
      </c>
      <c r="I38" s="218" t="str">
        <f>IFERROR(INDEX(ПОКАЗАТЕЛИ!$A$74:$H$299,MATCH(1,INDEX((A38=ПОКАЗАТЕЛИ!$A$74:$A$299)*(C38=ПОКАЗАТЕЛИ!$C$74:$C$299)*(D38=ПОКАЗАТЕЛИ!$D$74:$D$299),),0),6),"")</f>
        <v/>
      </c>
      <c r="J38" s="129" t="str">
        <f>IFERROR(INDEX(ПОКАЗАТЕЛИ!$A$21:$H$73,MATCH(1,INDEX((A38=ПОКАЗАТЕЛИ!$A$21:$A$73)*(C38=ПОКАЗАТЕЛИ!$C$21:$C$73)*(D38=ПОКАЗАТЕЛИ!$D$21:$D$73),),0),7),"")</f>
        <v/>
      </c>
      <c r="K38" s="196" t="str">
        <f>IFERROR(INDEX(ПОКАЗАТЕЛИ!$A$74:$H$299,MATCH(1,INDEX((A38=ПОКАЗАТЕЛИ!$A$74:$A$299)*(C38=ПОКАЗАТЕЛИ!$C$74:$C$299)*(D38=ПОКАЗАТЕЛИ!$D$74:$D$299),),0),7),"")</f>
        <v/>
      </c>
      <c r="L38" s="196" t="str">
        <f>IFERROR(INDEX(ПОКАЗАТЕЛИ!$A$21:$H$73,MATCH(1,INDEX((A38=ПОКАЗАТЕЛИ!$A$21:$A$73)*(C38=ПОКАЗАТЕЛИ!$C$21:$C$73)*(D38=ПОКАЗАТЕЛИ!$D$21:$D$73),),0),8),"")</f>
        <v/>
      </c>
      <c r="M38" s="196" t="str">
        <f>IFERROR(INDEX(ПОКАЗАТЕЛИ!$A$74:$H$299,MATCH(1,INDEX((A38=ПОКАЗАТЕЛИ!$A$74:$A$299)*(C38=ПОКАЗАТЕЛИ!$C$74:$C$299)*(D38=ПОКАЗАТЕЛИ!$D$74:$D$299),),0),8),"")</f>
        <v/>
      </c>
    </row>
    <row r="39" spans="1:13" ht="15" customHeight="1" x14ac:dyDescent="0.25">
      <c r="A39" s="209" t="str">
        <v/>
      </c>
      <c r="B39" s="119" t="str">
        <v/>
      </c>
      <c r="C39" s="119" t="str">
        <v/>
      </c>
      <c r="D39" s="119" t="str">
        <v/>
      </c>
      <c r="E39" s="120"/>
      <c r="F39" s="216" t="str">
        <f>IFERROR(INDEX(ПОКАЗАТЕЛИ!$A$6:$H$20,MATCH(1,INDEX((A39=ПОКАЗАТЕЛИ!$A$6:$A$20)*(C39=ПОКАЗАТЕЛИ!$C$6:$C$20)*(D39=ПОКАЗАТЕЛИ!$D$6:$D$20),),0),6),"")</f>
        <v/>
      </c>
      <c r="G39" s="194"/>
      <c r="H39" s="217" t="str">
        <f>IFERROR(INDEX(ПОКАЗАТЕЛИ!$A$21:$H$73,MATCH(1,INDEX((A39=ПОКАЗАТЕЛИ!$A$21:$A$73)*(C39=ПОКАЗАТЕЛИ!$C$21:$C$73)*(D39=ПОКАЗАТЕЛИ!$D$21:$D$73),),0),6),"")</f>
        <v/>
      </c>
      <c r="I39" s="218" t="str">
        <f>IFERROR(INDEX(ПОКАЗАТЕЛИ!$A$74:$H$299,MATCH(1,INDEX((A39=ПОКАЗАТЕЛИ!$A$74:$A$299)*(C39=ПОКАЗАТЕЛИ!$C$74:$C$299)*(D39=ПОКАЗАТЕЛИ!$D$74:$D$299),),0),6),"")</f>
        <v/>
      </c>
      <c r="J39" s="129" t="str">
        <f>IFERROR(INDEX(ПОКАЗАТЕЛИ!$A$21:$H$73,MATCH(1,INDEX((A39=ПОКАЗАТЕЛИ!$A$21:$A$73)*(C39=ПОКАЗАТЕЛИ!$C$21:$C$73)*(D39=ПОКАЗАТЕЛИ!$D$21:$D$73),),0),7),"")</f>
        <v/>
      </c>
      <c r="K39" s="196" t="str">
        <f>IFERROR(INDEX(ПОКАЗАТЕЛИ!$A$74:$H$299,MATCH(1,INDEX((A39=ПОКАЗАТЕЛИ!$A$74:$A$299)*(C39=ПОКАЗАТЕЛИ!$C$74:$C$299)*(D39=ПОКАЗАТЕЛИ!$D$74:$D$299),),0),7),"")</f>
        <v/>
      </c>
      <c r="L39" s="196" t="str">
        <f>IFERROR(INDEX(ПОКАЗАТЕЛИ!$A$21:$H$73,MATCH(1,INDEX((A39=ПОКАЗАТЕЛИ!$A$21:$A$73)*(C39=ПОКАЗАТЕЛИ!$C$21:$C$73)*(D39=ПОКАЗАТЕЛИ!$D$21:$D$73),),0),8),"")</f>
        <v/>
      </c>
      <c r="M39" s="196" t="str">
        <f>IFERROR(INDEX(ПОКАЗАТЕЛИ!$A$74:$H$299,MATCH(1,INDEX((A39=ПОКАЗАТЕЛИ!$A$74:$A$299)*(C39=ПОКАЗАТЕЛИ!$C$74:$C$299)*(D39=ПОКАЗАТЕЛИ!$D$74:$D$299),),0),8),"")</f>
        <v/>
      </c>
    </row>
    <row r="40" spans="1:13" ht="15" customHeight="1" x14ac:dyDescent="0.25">
      <c r="A40" s="209" t="str">
        <v/>
      </c>
      <c r="B40" s="119" t="str">
        <v/>
      </c>
      <c r="C40" s="119" t="str">
        <v/>
      </c>
      <c r="D40" s="119" t="str">
        <v/>
      </c>
      <c r="E40" s="120"/>
      <c r="F40" s="216" t="str">
        <f>IFERROR(INDEX(ПОКАЗАТЕЛИ!$A$6:$H$20,MATCH(1,INDEX((A40=ПОКАЗАТЕЛИ!$A$6:$A$20)*(C40=ПОКАЗАТЕЛИ!$C$6:$C$20)*(D40=ПОКАЗАТЕЛИ!$D$6:$D$20),),0),6),"")</f>
        <v/>
      </c>
      <c r="G40" s="194"/>
      <c r="H40" s="217" t="str">
        <f>IFERROR(INDEX(ПОКАЗАТЕЛИ!$A$21:$H$73,MATCH(1,INDEX((A40=ПОКАЗАТЕЛИ!$A$21:$A$73)*(C40=ПОКАЗАТЕЛИ!$C$21:$C$73)*(D40=ПОКАЗАТЕЛИ!$D$21:$D$73),),0),6),"")</f>
        <v/>
      </c>
      <c r="I40" s="218" t="str">
        <f>IFERROR(INDEX(ПОКАЗАТЕЛИ!$A$74:$H$299,MATCH(1,INDEX((A40=ПОКАЗАТЕЛИ!$A$74:$A$299)*(C40=ПОКАЗАТЕЛИ!$C$74:$C$299)*(D40=ПОКАЗАТЕЛИ!$D$74:$D$299),),0),6),"")</f>
        <v/>
      </c>
      <c r="J40" s="129" t="str">
        <f>IFERROR(INDEX(ПОКАЗАТЕЛИ!$A$21:$H$73,MATCH(1,INDEX((A40=ПОКАЗАТЕЛИ!$A$21:$A$73)*(C40=ПОКАЗАТЕЛИ!$C$21:$C$73)*(D40=ПОКАЗАТЕЛИ!$D$21:$D$73),),0),7),"")</f>
        <v/>
      </c>
      <c r="K40" s="196" t="str">
        <f>IFERROR(INDEX(ПОКАЗАТЕЛИ!$A$74:$H$299,MATCH(1,INDEX((A40=ПОКАЗАТЕЛИ!$A$74:$A$299)*(C40=ПОКАЗАТЕЛИ!$C$74:$C$299)*(D40=ПОКАЗАТЕЛИ!$D$74:$D$299),),0),7),"")</f>
        <v/>
      </c>
      <c r="L40" s="196" t="str">
        <f>IFERROR(INDEX(ПОКАЗАТЕЛИ!$A$21:$H$73,MATCH(1,INDEX((A40=ПОКАЗАТЕЛИ!$A$21:$A$73)*(C40=ПОКАЗАТЕЛИ!$C$21:$C$73)*(D40=ПОКАЗАТЕЛИ!$D$21:$D$73),),0),8),"")</f>
        <v/>
      </c>
      <c r="M40" s="196" t="str">
        <f>IFERROR(INDEX(ПОКАЗАТЕЛИ!$A$74:$H$299,MATCH(1,INDEX((A40=ПОКАЗАТЕЛИ!$A$74:$A$299)*(C40=ПОКАЗАТЕЛИ!$C$74:$C$299)*(D40=ПОКАЗАТЕЛИ!$D$74:$D$299),),0),8),"")</f>
        <v/>
      </c>
    </row>
    <row r="41" spans="1:13" ht="15" customHeight="1" x14ac:dyDescent="0.25">
      <c r="A41" s="209" t="str">
        <v/>
      </c>
      <c r="B41" s="119" t="str">
        <v/>
      </c>
      <c r="C41" s="119" t="str">
        <v/>
      </c>
      <c r="D41" s="119" t="str">
        <v/>
      </c>
      <c r="E41" s="120"/>
      <c r="F41" s="216" t="str">
        <f>IFERROR(INDEX(ПОКАЗАТЕЛИ!$A$6:$H$20,MATCH(1,INDEX((A41=ПОКАЗАТЕЛИ!$A$6:$A$20)*(C41=ПОКАЗАТЕЛИ!$C$6:$C$20)*(D41=ПОКАЗАТЕЛИ!$D$6:$D$20),),0),6),"")</f>
        <v/>
      </c>
      <c r="G41" s="194"/>
      <c r="H41" s="217" t="str">
        <f>IFERROR(INDEX(ПОКАЗАТЕЛИ!$A$21:$H$73,MATCH(1,INDEX((A41=ПОКАЗАТЕЛИ!$A$21:$A$73)*(C41=ПОКАЗАТЕЛИ!$C$21:$C$73)*(D41=ПОКАЗАТЕЛИ!$D$21:$D$73),),0),6),"")</f>
        <v/>
      </c>
      <c r="I41" s="218" t="str">
        <f>IFERROR(INDEX(ПОКАЗАТЕЛИ!$A$74:$H$299,MATCH(1,INDEX((A41=ПОКАЗАТЕЛИ!$A$74:$A$299)*(C41=ПОКАЗАТЕЛИ!$C$74:$C$299)*(D41=ПОКАЗАТЕЛИ!$D$74:$D$299),),0),6),"")</f>
        <v/>
      </c>
      <c r="J41" s="129" t="str">
        <f>IFERROR(INDEX(ПОКАЗАТЕЛИ!$A$21:$H$73,MATCH(1,INDEX((A41=ПОКАЗАТЕЛИ!$A$21:$A$73)*(C41=ПОКАЗАТЕЛИ!$C$21:$C$73)*(D41=ПОКАЗАТЕЛИ!$D$21:$D$73),),0),7),"")</f>
        <v/>
      </c>
      <c r="K41" s="196" t="str">
        <f>IFERROR(INDEX(ПОКАЗАТЕЛИ!$A$74:$H$299,MATCH(1,INDEX((A41=ПОКАЗАТЕЛИ!$A$74:$A$299)*(C41=ПОКАЗАТЕЛИ!$C$74:$C$299)*(D41=ПОКАЗАТЕЛИ!$D$74:$D$299),),0),7),"")</f>
        <v/>
      </c>
      <c r="L41" s="196" t="str">
        <f>IFERROR(INDEX(ПОКАЗАТЕЛИ!$A$21:$H$73,MATCH(1,INDEX((A41=ПОКАЗАТЕЛИ!$A$21:$A$73)*(C41=ПОКАЗАТЕЛИ!$C$21:$C$73)*(D41=ПОКАЗАТЕЛИ!$D$21:$D$73),),0),8),"")</f>
        <v/>
      </c>
      <c r="M41" s="196" t="str">
        <f>IFERROR(INDEX(ПОКАЗАТЕЛИ!$A$74:$H$299,MATCH(1,INDEX((A41=ПОКАЗАТЕЛИ!$A$74:$A$299)*(C41=ПОКАЗАТЕЛИ!$C$74:$C$299)*(D41=ПОКАЗАТЕЛИ!$D$74:$D$299),),0),8),"")</f>
        <v/>
      </c>
    </row>
    <row r="42" spans="1:13" ht="15" customHeight="1" x14ac:dyDescent="0.25">
      <c r="A42" s="209" t="str">
        <v/>
      </c>
      <c r="B42" s="119" t="str">
        <v/>
      </c>
      <c r="C42" s="119" t="str">
        <v/>
      </c>
      <c r="D42" s="119" t="str">
        <v/>
      </c>
      <c r="E42" s="120"/>
      <c r="F42" s="216" t="str">
        <f>IFERROR(INDEX(ПОКАЗАТЕЛИ!$A$6:$H$20,MATCH(1,INDEX((A42=ПОКАЗАТЕЛИ!$A$6:$A$20)*(C42=ПОКАЗАТЕЛИ!$C$6:$C$20)*(D42=ПОКАЗАТЕЛИ!$D$6:$D$20),),0),6),"")</f>
        <v/>
      </c>
      <c r="G42" s="194"/>
      <c r="H42" s="217" t="str">
        <f>IFERROR(INDEX(ПОКАЗАТЕЛИ!$A$21:$H$73,MATCH(1,INDEX((A42=ПОКАЗАТЕЛИ!$A$21:$A$73)*(C42=ПОКАЗАТЕЛИ!$C$21:$C$73)*(D42=ПОКАЗАТЕЛИ!$D$21:$D$73),),0),6),"")</f>
        <v/>
      </c>
      <c r="I42" s="218" t="str">
        <f>IFERROR(INDEX(ПОКАЗАТЕЛИ!$A$74:$H$299,MATCH(1,INDEX((A42=ПОКАЗАТЕЛИ!$A$74:$A$299)*(C42=ПОКАЗАТЕЛИ!$C$74:$C$299)*(D42=ПОКАЗАТЕЛИ!$D$74:$D$299),),0),6),"")</f>
        <v/>
      </c>
      <c r="J42" s="129" t="str">
        <f>IFERROR(INDEX(ПОКАЗАТЕЛИ!$A$21:$H$73,MATCH(1,INDEX((A42=ПОКАЗАТЕЛИ!$A$21:$A$73)*(C42=ПОКАЗАТЕЛИ!$C$21:$C$73)*(D42=ПОКАЗАТЕЛИ!$D$21:$D$73),),0),7),"")</f>
        <v/>
      </c>
      <c r="K42" s="196" t="str">
        <f>IFERROR(INDEX(ПОКАЗАТЕЛИ!$A$74:$H$299,MATCH(1,INDEX((A42=ПОКАЗАТЕЛИ!$A$74:$A$299)*(C42=ПОКАЗАТЕЛИ!$C$74:$C$299)*(D42=ПОКАЗАТЕЛИ!$D$74:$D$299),),0),7),"")</f>
        <v/>
      </c>
      <c r="L42" s="196" t="str">
        <f>IFERROR(INDEX(ПОКАЗАТЕЛИ!$A$21:$H$73,MATCH(1,INDEX((A42=ПОКАЗАТЕЛИ!$A$21:$A$73)*(C42=ПОКАЗАТЕЛИ!$C$21:$C$73)*(D42=ПОКАЗАТЕЛИ!$D$21:$D$73),),0),8),"")</f>
        <v/>
      </c>
      <c r="M42" s="196" t="str">
        <f>IFERROR(INDEX(ПОКАЗАТЕЛИ!$A$74:$H$299,MATCH(1,INDEX((A42=ПОКАЗАТЕЛИ!$A$74:$A$299)*(C42=ПОКАЗАТЕЛИ!$C$74:$C$299)*(D42=ПОКАЗАТЕЛИ!$D$74:$D$299),),0),8),"")</f>
        <v/>
      </c>
    </row>
    <row r="43" spans="1:13" ht="15" customHeight="1" x14ac:dyDescent="0.25">
      <c r="A43" s="209" t="str">
        <v/>
      </c>
      <c r="B43" s="119" t="str">
        <v/>
      </c>
      <c r="C43" s="119" t="str">
        <v/>
      </c>
      <c r="D43" s="119" t="str">
        <v/>
      </c>
      <c r="E43" s="120"/>
      <c r="F43" s="216" t="str">
        <f>IFERROR(INDEX(ПОКАЗАТЕЛИ!$A$6:$H$20,MATCH(1,INDEX((A43=ПОКАЗАТЕЛИ!$A$6:$A$20)*(C43=ПОКАЗАТЕЛИ!$C$6:$C$20)*(D43=ПОКАЗАТЕЛИ!$D$6:$D$20),),0),6),"")</f>
        <v/>
      </c>
      <c r="G43" s="194"/>
      <c r="H43" s="217" t="str">
        <f>IFERROR(INDEX(ПОКАЗАТЕЛИ!$A$21:$H$73,MATCH(1,INDEX((A43=ПОКАЗАТЕЛИ!$A$21:$A$73)*(C43=ПОКАЗАТЕЛИ!$C$21:$C$73)*(D43=ПОКАЗАТЕЛИ!$D$21:$D$73),),0),6),"")</f>
        <v/>
      </c>
      <c r="I43" s="218" t="str">
        <f>IFERROR(INDEX(ПОКАЗАТЕЛИ!$A$74:$H$299,MATCH(1,INDEX((A43=ПОКАЗАТЕЛИ!$A$74:$A$299)*(C43=ПОКАЗАТЕЛИ!$C$74:$C$299)*(D43=ПОКАЗАТЕЛИ!$D$74:$D$299),),0),6),"")</f>
        <v/>
      </c>
      <c r="J43" s="129" t="str">
        <f>IFERROR(INDEX(ПОКАЗАТЕЛИ!$A$21:$H$73,MATCH(1,INDEX((A43=ПОКАЗАТЕЛИ!$A$21:$A$73)*(C43=ПОКАЗАТЕЛИ!$C$21:$C$73)*(D43=ПОКАЗАТЕЛИ!$D$21:$D$73),),0),7),"")</f>
        <v/>
      </c>
      <c r="K43" s="196" t="str">
        <f>IFERROR(INDEX(ПОКАЗАТЕЛИ!$A$74:$H$299,MATCH(1,INDEX((A43=ПОКАЗАТЕЛИ!$A$74:$A$299)*(C43=ПОКАЗАТЕЛИ!$C$74:$C$299)*(D43=ПОКАЗАТЕЛИ!$D$74:$D$299),),0),7),"")</f>
        <v/>
      </c>
      <c r="L43" s="196" t="str">
        <f>IFERROR(INDEX(ПОКАЗАТЕЛИ!$A$21:$H$73,MATCH(1,INDEX((A43=ПОКАЗАТЕЛИ!$A$21:$A$73)*(C43=ПОКАЗАТЕЛИ!$C$21:$C$73)*(D43=ПОКАЗАТЕЛИ!$D$21:$D$73),),0),8),"")</f>
        <v/>
      </c>
      <c r="M43" s="196" t="str">
        <f>IFERROR(INDEX(ПОКАЗАТЕЛИ!$A$74:$H$299,MATCH(1,INDEX((A43=ПОКАЗАТЕЛИ!$A$74:$A$299)*(C43=ПОКАЗАТЕЛИ!$C$74:$C$299)*(D43=ПОКАЗАТЕЛИ!$D$74:$D$299),),0),8),"")</f>
        <v/>
      </c>
    </row>
    <row r="44" spans="1:13" ht="15" customHeight="1" x14ac:dyDescent="0.25">
      <c r="A44" s="209" t="str">
        <v/>
      </c>
      <c r="B44" s="119" t="str">
        <v/>
      </c>
      <c r="C44" s="119" t="str">
        <v/>
      </c>
      <c r="D44" s="119" t="str">
        <v/>
      </c>
      <c r="E44" s="120"/>
      <c r="F44" s="216" t="str">
        <f>IFERROR(INDEX(ПОКАЗАТЕЛИ!$A$6:$H$20,MATCH(1,INDEX((A44=ПОКАЗАТЕЛИ!$A$6:$A$20)*(C44=ПОКАЗАТЕЛИ!$C$6:$C$20)*(D44=ПОКАЗАТЕЛИ!$D$6:$D$20),),0),6),"")</f>
        <v/>
      </c>
      <c r="G44" s="194"/>
      <c r="H44" s="217" t="str">
        <f>IFERROR(INDEX(ПОКАЗАТЕЛИ!$A$21:$H$73,MATCH(1,INDEX((A44=ПОКАЗАТЕЛИ!$A$21:$A$73)*(C44=ПОКАЗАТЕЛИ!$C$21:$C$73)*(D44=ПОКАЗАТЕЛИ!$D$21:$D$73),),0),6),"")</f>
        <v/>
      </c>
      <c r="I44" s="218" t="str">
        <f>IFERROR(INDEX(ПОКАЗАТЕЛИ!$A$74:$H$299,MATCH(1,INDEX((A44=ПОКАЗАТЕЛИ!$A$74:$A$299)*(C44=ПОКАЗАТЕЛИ!$C$74:$C$299)*(D44=ПОКАЗАТЕЛИ!$D$74:$D$299),),0),6),"")</f>
        <v/>
      </c>
      <c r="J44" s="129" t="str">
        <f>IFERROR(INDEX(ПОКАЗАТЕЛИ!$A$21:$H$73,MATCH(1,INDEX((A44=ПОКАЗАТЕЛИ!$A$21:$A$73)*(C44=ПОКАЗАТЕЛИ!$C$21:$C$73)*(D44=ПОКАЗАТЕЛИ!$D$21:$D$73),),0),7),"")</f>
        <v/>
      </c>
      <c r="K44" s="196" t="str">
        <f>IFERROR(INDEX(ПОКАЗАТЕЛИ!$A$74:$H$299,MATCH(1,INDEX((A44=ПОКАЗАТЕЛИ!$A$74:$A$299)*(C44=ПОКАЗАТЕЛИ!$C$74:$C$299)*(D44=ПОКАЗАТЕЛИ!$D$74:$D$299),),0),7),"")</f>
        <v/>
      </c>
      <c r="L44" s="196" t="str">
        <f>IFERROR(INDEX(ПОКАЗАТЕЛИ!$A$21:$H$73,MATCH(1,INDEX((A44=ПОКАЗАТЕЛИ!$A$21:$A$73)*(C44=ПОКАЗАТЕЛИ!$C$21:$C$73)*(D44=ПОКАЗАТЕЛИ!$D$21:$D$73),),0),8),"")</f>
        <v/>
      </c>
      <c r="M44" s="196" t="str">
        <f>IFERROR(INDEX(ПОКАЗАТЕЛИ!$A$74:$H$299,MATCH(1,INDEX((A44=ПОКАЗАТЕЛИ!$A$74:$A$299)*(C44=ПОКАЗАТЕЛИ!$C$74:$C$299)*(D44=ПОКАЗАТЕЛИ!$D$74:$D$299),),0),8),"")</f>
        <v/>
      </c>
    </row>
    <row r="45" spans="1:13" ht="15" customHeight="1" x14ac:dyDescent="0.25">
      <c r="A45" s="209" t="str">
        <v/>
      </c>
      <c r="B45" s="119" t="str">
        <v/>
      </c>
      <c r="C45" s="119" t="str">
        <v/>
      </c>
      <c r="D45" s="119" t="str">
        <v/>
      </c>
      <c r="E45" s="120"/>
      <c r="F45" s="216" t="str">
        <f>IFERROR(INDEX(ПОКАЗАТЕЛИ!$A$6:$H$20,MATCH(1,INDEX((A45=ПОКАЗАТЕЛИ!$A$6:$A$20)*(C45=ПОКАЗАТЕЛИ!$C$6:$C$20)*(D45=ПОКАЗАТЕЛИ!$D$6:$D$20),),0),6),"")</f>
        <v/>
      </c>
      <c r="G45" s="194"/>
      <c r="H45" s="217" t="str">
        <f>IFERROR(INDEX(ПОКАЗАТЕЛИ!$A$21:$H$73,MATCH(1,INDEX((A45=ПОКАЗАТЕЛИ!$A$21:$A$73)*(C45=ПОКАЗАТЕЛИ!$C$21:$C$73)*(D45=ПОКАЗАТЕЛИ!$D$21:$D$73),),0),6),"")</f>
        <v/>
      </c>
      <c r="I45" s="218" t="str">
        <f>IFERROR(INDEX(ПОКАЗАТЕЛИ!$A$74:$H$299,MATCH(1,INDEX((A45=ПОКАЗАТЕЛИ!$A$74:$A$299)*(C45=ПОКАЗАТЕЛИ!$C$74:$C$299)*(D45=ПОКАЗАТЕЛИ!$D$74:$D$299),),0),6),"")</f>
        <v/>
      </c>
      <c r="J45" s="129" t="str">
        <f>IFERROR(INDEX(ПОКАЗАТЕЛИ!$A$21:$H$73,MATCH(1,INDEX((A45=ПОКАЗАТЕЛИ!$A$21:$A$73)*(C45=ПОКАЗАТЕЛИ!$C$21:$C$73)*(D45=ПОКАЗАТЕЛИ!$D$21:$D$73),),0),7),"")</f>
        <v/>
      </c>
      <c r="K45" s="196" t="str">
        <f>IFERROR(INDEX(ПОКАЗАТЕЛИ!$A$74:$H$299,MATCH(1,INDEX((A45=ПОКАЗАТЕЛИ!$A$74:$A$299)*(C45=ПОКАЗАТЕЛИ!$C$74:$C$299)*(D45=ПОКАЗАТЕЛИ!$D$74:$D$299),),0),7),"")</f>
        <v/>
      </c>
      <c r="L45" s="196" t="str">
        <f>IFERROR(INDEX(ПОКАЗАТЕЛИ!$A$21:$H$73,MATCH(1,INDEX((A45=ПОКАЗАТЕЛИ!$A$21:$A$73)*(C45=ПОКАЗАТЕЛИ!$C$21:$C$73)*(D45=ПОКАЗАТЕЛИ!$D$21:$D$73),),0),8),"")</f>
        <v/>
      </c>
      <c r="M45" s="196" t="str">
        <f>IFERROR(INDEX(ПОКАЗАТЕЛИ!$A$74:$H$299,MATCH(1,INDEX((A45=ПОКАЗАТЕЛИ!$A$74:$A$299)*(C45=ПОКАЗАТЕЛИ!$C$74:$C$299)*(D45=ПОКАЗАТЕЛИ!$D$74:$D$299),),0),8),"")</f>
        <v/>
      </c>
    </row>
    <row r="46" spans="1:13" ht="15" customHeight="1" x14ac:dyDescent="0.25">
      <c r="A46" s="209" t="str">
        <v/>
      </c>
      <c r="B46" s="119" t="str">
        <v/>
      </c>
      <c r="C46" s="119" t="str">
        <v/>
      </c>
      <c r="D46" s="119" t="str">
        <v/>
      </c>
      <c r="E46" s="120"/>
      <c r="F46" s="216" t="str">
        <f>IFERROR(INDEX(ПОКАЗАТЕЛИ!$A$6:$H$20,MATCH(1,INDEX((A46=ПОКАЗАТЕЛИ!$A$6:$A$20)*(C46=ПОКАЗАТЕЛИ!$C$6:$C$20)*(D46=ПОКАЗАТЕЛИ!$D$6:$D$20),),0),6),"")</f>
        <v/>
      </c>
      <c r="G46" s="194"/>
      <c r="H46" s="217" t="str">
        <f>IFERROR(INDEX(ПОКАЗАТЕЛИ!$A$21:$H$73,MATCH(1,INDEX((A46=ПОКАЗАТЕЛИ!$A$21:$A$73)*(C46=ПОКАЗАТЕЛИ!$C$21:$C$73)*(D46=ПОКАЗАТЕЛИ!$D$21:$D$73),),0),6),"")</f>
        <v/>
      </c>
      <c r="I46" s="218" t="str">
        <f>IFERROR(INDEX(ПОКАЗАТЕЛИ!$A$74:$H$299,MATCH(1,INDEX((A46=ПОКАЗАТЕЛИ!$A$74:$A$299)*(C46=ПОКАЗАТЕЛИ!$C$74:$C$299)*(D46=ПОКАЗАТЕЛИ!$D$74:$D$299),),0),6),"")</f>
        <v/>
      </c>
      <c r="J46" s="129" t="str">
        <f>IFERROR(INDEX(ПОКАЗАТЕЛИ!$A$21:$H$73,MATCH(1,INDEX((A46=ПОКАЗАТЕЛИ!$A$21:$A$73)*(C46=ПОКАЗАТЕЛИ!$C$21:$C$73)*(D46=ПОКАЗАТЕЛИ!$D$21:$D$73),),0),7),"")</f>
        <v/>
      </c>
      <c r="K46" s="196" t="str">
        <f>IFERROR(INDEX(ПОКАЗАТЕЛИ!$A$74:$H$299,MATCH(1,INDEX((A46=ПОКАЗАТЕЛИ!$A$74:$A$299)*(C46=ПОКАЗАТЕЛИ!$C$74:$C$299)*(D46=ПОКАЗАТЕЛИ!$D$74:$D$299),),0),7),"")</f>
        <v/>
      </c>
      <c r="L46" s="196" t="str">
        <f>IFERROR(INDEX(ПОКАЗАТЕЛИ!$A$21:$H$73,MATCH(1,INDEX((A46=ПОКАЗАТЕЛИ!$A$21:$A$73)*(C46=ПОКАЗАТЕЛИ!$C$21:$C$73)*(D46=ПОКАЗАТЕЛИ!$D$21:$D$73),),0),8),"")</f>
        <v/>
      </c>
      <c r="M46" s="196" t="str">
        <f>IFERROR(INDEX(ПОКАЗАТЕЛИ!$A$74:$H$299,MATCH(1,INDEX((A46=ПОКАЗАТЕЛИ!$A$74:$A$299)*(C46=ПОКАЗАТЕЛИ!$C$74:$C$299)*(D46=ПОКАЗАТЕЛИ!$D$74:$D$299),),0),8),"")</f>
        <v/>
      </c>
    </row>
    <row r="47" spans="1:13" ht="15" customHeight="1" x14ac:dyDescent="0.25">
      <c r="A47" s="209" t="str">
        <v/>
      </c>
      <c r="B47" s="119" t="str">
        <v/>
      </c>
      <c r="C47" s="119" t="str">
        <v/>
      </c>
      <c r="D47" s="119" t="str">
        <v/>
      </c>
      <c r="E47" s="120"/>
      <c r="F47" s="216" t="str">
        <f>IFERROR(INDEX(ПОКАЗАТЕЛИ!$A$6:$H$20,MATCH(1,INDEX((A47=ПОКАЗАТЕЛИ!$A$6:$A$20)*(C47=ПОКАЗАТЕЛИ!$C$6:$C$20)*(D47=ПОКАЗАТЕЛИ!$D$6:$D$20),),0),6),"")</f>
        <v/>
      </c>
      <c r="G47" s="194"/>
      <c r="H47" s="217" t="str">
        <f>IFERROR(INDEX(ПОКАЗАТЕЛИ!$A$21:$H$73,MATCH(1,INDEX((A47=ПОКАЗАТЕЛИ!$A$21:$A$73)*(C47=ПОКАЗАТЕЛИ!$C$21:$C$73)*(D47=ПОКАЗАТЕЛИ!$D$21:$D$73),),0),6),"")</f>
        <v/>
      </c>
      <c r="I47" s="218" t="str">
        <f>IFERROR(INDEX(ПОКАЗАТЕЛИ!$A$74:$H$299,MATCH(1,INDEX((A47=ПОКАЗАТЕЛИ!$A$74:$A$299)*(C47=ПОКАЗАТЕЛИ!$C$74:$C$299)*(D47=ПОКАЗАТЕЛИ!$D$74:$D$299),),0),6),"")</f>
        <v/>
      </c>
      <c r="J47" s="129" t="str">
        <f>IFERROR(INDEX(ПОКАЗАТЕЛИ!$A$21:$H$73,MATCH(1,INDEX((A47=ПОКАЗАТЕЛИ!$A$21:$A$73)*(C47=ПОКАЗАТЕЛИ!$C$21:$C$73)*(D47=ПОКАЗАТЕЛИ!$D$21:$D$73),),0),7),"")</f>
        <v/>
      </c>
      <c r="K47" s="196" t="str">
        <f>IFERROR(INDEX(ПОКАЗАТЕЛИ!$A$74:$H$299,MATCH(1,INDEX((A47=ПОКАЗАТЕЛИ!$A$74:$A$299)*(C47=ПОКАЗАТЕЛИ!$C$74:$C$299)*(D47=ПОКАЗАТЕЛИ!$D$74:$D$299),),0),7),"")</f>
        <v/>
      </c>
      <c r="L47" s="196" t="str">
        <f>IFERROR(INDEX(ПОКАЗАТЕЛИ!$A$21:$H$73,MATCH(1,INDEX((A47=ПОКАЗАТЕЛИ!$A$21:$A$73)*(C47=ПОКАЗАТЕЛИ!$C$21:$C$73)*(D47=ПОКАЗАТЕЛИ!$D$21:$D$73),),0),8),"")</f>
        <v/>
      </c>
      <c r="M47" s="196" t="str">
        <f>IFERROR(INDEX(ПОКАЗАТЕЛИ!$A$74:$H$299,MATCH(1,INDEX((A47=ПОКАЗАТЕЛИ!$A$74:$A$299)*(C47=ПОКАЗАТЕЛИ!$C$74:$C$299)*(D47=ПОКАЗАТЕЛИ!$D$74:$D$299),),0),8),"")</f>
        <v/>
      </c>
    </row>
    <row r="48" spans="1:13" ht="15" customHeight="1" x14ac:dyDescent="0.25">
      <c r="A48" s="209" t="str">
        <v/>
      </c>
      <c r="B48" s="119" t="str">
        <v/>
      </c>
      <c r="C48" s="119" t="str">
        <v/>
      </c>
      <c r="D48" s="119" t="str">
        <v/>
      </c>
      <c r="E48" s="120"/>
      <c r="F48" s="216" t="str">
        <f>IFERROR(INDEX(ПОКАЗАТЕЛИ!$A$6:$H$20,MATCH(1,INDEX((A48=ПОКАЗАТЕЛИ!$A$6:$A$20)*(C48=ПОКАЗАТЕЛИ!$C$6:$C$20)*(D48=ПОКАЗАТЕЛИ!$D$6:$D$20),),0),6),"")</f>
        <v/>
      </c>
      <c r="G48" s="194"/>
      <c r="H48" s="217" t="str">
        <f>IFERROR(INDEX(ПОКАЗАТЕЛИ!$A$21:$H$73,MATCH(1,INDEX((A48=ПОКАЗАТЕЛИ!$A$21:$A$73)*(C48=ПОКАЗАТЕЛИ!$C$21:$C$73)*(D48=ПОКАЗАТЕЛИ!$D$21:$D$73),),0),6),"")</f>
        <v/>
      </c>
      <c r="I48" s="218" t="str">
        <f>IFERROR(INDEX(ПОКАЗАТЕЛИ!$A$74:$H$299,MATCH(1,INDEX((A48=ПОКАЗАТЕЛИ!$A$74:$A$299)*(C48=ПОКАЗАТЕЛИ!$C$74:$C$299)*(D48=ПОКАЗАТЕЛИ!$D$74:$D$299),),0),6),"")</f>
        <v/>
      </c>
      <c r="J48" s="129" t="str">
        <f>IFERROR(INDEX(ПОКАЗАТЕЛИ!$A$21:$H$73,MATCH(1,INDEX((A48=ПОКАЗАТЕЛИ!$A$21:$A$73)*(C48=ПОКАЗАТЕЛИ!$C$21:$C$73)*(D48=ПОКАЗАТЕЛИ!$D$21:$D$73),),0),7),"")</f>
        <v/>
      </c>
      <c r="K48" s="196" t="str">
        <f>IFERROR(INDEX(ПОКАЗАТЕЛИ!$A$74:$H$299,MATCH(1,INDEX((A48=ПОКАЗАТЕЛИ!$A$74:$A$299)*(C48=ПОКАЗАТЕЛИ!$C$74:$C$299)*(D48=ПОКАЗАТЕЛИ!$D$74:$D$299),),0),7),"")</f>
        <v/>
      </c>
      <c r="L48" s="196" t="str">
        <f>IFERROR(INDEX(ПОКАЗАТЕЛИ!$A$21:$H$73,MATCH(1,INDEX((A48=ПОКАЗАТЕЛИ!$A$21:$A$73)*(C48=ПОКАЗАТЕЛИ!$C$21:$C$73)*(D48=ПОКАЗАТЕЛИ!$D$21:$D$73),),0),8),"")</f>
        <v/>
      </c>
      <c r="M48" s="196" t="str">
        <f>IFERROR(INDEX(ПОКАЗАТЕЛИ!$A$74:$H$299,MATCH(1,INDEX((A48=ПОКАЗАТЕЛИ!$A$74:$A$299)*(C48=ПОКАЗАТЕЛИ!$C$74:$C$299)*(D48=ПОКАЗАТЕЛИ!$D$74:$D$299),),0),8),"")</f>
        <v/>
      </c>
    </row>
    <row r="49" spans="1:13" ht="15" customHeight="1" x14ac:dyDescent="0.25">
      <c r="A49" s="209" t="str">
        <v/>
      </c>
      <c r="B49" s="119" t="str">
        <v/>
      </c>
      <c r="C49" s="119" t="str">
        <v/>
      </c>
      <c r="D49" s="119" t="str">
        <v/>
      </c>
      <c r="E49" s="120"/>
      <c r="F49" s="216" t="str">
        <f>IFERROR(INDEX(ПОКАЗАТЕЛИ!$A$6:$H$20,MATCH(1,INDEX((A49=ПОКАЗАТЕЛИ!$A$6:$A$20)*(C49=ПОКАЗАТЕЛИ!$C$6:$C$20)*(D49=ПОКАЗАТЕЛИ!$D$6:$D$20),),0),6),"")</f>
        <v/>
      </c>
      <c r="G49" s="194"/>
      <c r="H49" s="217" t="str">
        <f>IFERROR(INDEX(ПОКАЗАТЕЛИ!$A$21:$H$73,MATCH(1,INDEX((A49=ПОКАЗАТЕЛИ!$A$21:$A$73)*(C49=ПОКАЗАТЕЛИ!$C$21:$C$73)*(D49=ПОКАЗАТЕЛИ!$D$21:$D$73),),0),6),"")</f>
        <v/>
      </c>
      <c r="I49" s="218" t="str">
        <f>IFERROR(INDEX(ПОКАЗАТЕЛИ!$A$74:$H$299,MATCH(1,INDEX((A49=ПОКАЗАТЕЛИ!$A$74:$A$299)*(C49=ПОКАЗАТЕЛИ!$C$74:$C$299)*(D49=ПОКАЗАТЕЛИ!$D$74:$D$299),),0),6),"")</f>
        <v/>
      </c>
      <c r="J49" s="129" t="str">
        <f>IFERROR(INDEX(ПОКАЗАТЕЛИ!$A$21:$H$73,MATCH(1,INDEX((A49=ПОКАЗАТЕЛИ!$A$21:$A$73)*(C49=ПОКАЗАТЕЛИ!$C$21:$C$73)*(D49=ПОКАЗАТЕЛИ!$D$21:$D$73),),0),7),"")</f>
        <v/>
      </c>
      <c r="K49" s="196" t="str">
        <f>IFERROR(INDEX(ПОКАЗАТЕЛИ!$A$74:$H$299,MATCH(1,INDEX((A49=ПОКАЗАТЕЛИ!$A$74:$A$299)*(C49=ПОКАЗАТЕЛИ!$C$74:$C$299)*(D49=ПОКАЗАТЕЛИ!$D$74:$D$299),),0),7),"")</f>
        <v/>
      </c>
      <c r="L49" s="196" t="str">
        <f>IFERROR(INDEX(ПОКАЗАТЕЛИ!$A$21:$H$73,MATCH(1,INDEX((A49=ПОКАЗАТЕЛИ!$A$21:$A$73)*(C49=ПОКАЗАТЕЛИ!$C$21:$C$73)*(D49=ПОКАЗАТЕЛИ!$D$21:$D$73),),0),8),"")</f>
        <v/>
      </c>
      <c r="M49" s="196" t="str">
        <f>IFERROR(INDEX(ПОКАЗАТЕЛИ!$A$74:$H$299,MATCH(1,INDEX((A49=ПОКАЗАТЕЛИ!$A$74:$A$299)*(C49=ПОКАЗАТЕЛИ!$C$74:$C$299)*(D49=ПОКАЗАТЕЛИ!$D$74:$D$299),),0),8),"")</f>
        <v/>
      </c>
    </row>
    <row r="50" spans="1:13" ht="15" customHeight="1" x14ac:dyDescent="0.25">
      <c r="A50" s="209" t="str">
        <v/>
      </c>
      <c r="B50" s="119" t="str">
        <v/>
      </c>
      <c r="C50" s="119" t="str">
        <v/>
      </c>
      <c r="D50" s="119" t="str">
        <v/>
      </c>
      <c r="E50" s="120"/>
      <c r="F50" s="216" t="str">
        <f>IFERROR(INDEX(ПОКАЗАТЕЛИ!$A$6:$H$20,MATCH(1,INDEX((A50=ПОКАЗАТЕЛИ!$A$6:$A$20)*(C50=ПОКАЗАТЕЛИ!$C$6:$C$20)*(D50=ПОКАЗАТЕЛИ!$D$6:$D$20),),0),6),"")</f>
        <v/>
      </c>
      <c r="G50" s="194"/>
      <c r="H50" s="217" t="str">
        <f>IFERROR(INDEX(ПОКАЗАТЕЛИ!$A$21:$H$73,MATCH(1,INDEX((A50=ПОКАЗАТЕЛИ!$A$21:$A$73)*(C50=ПОКАЗАТЕЛИ!$C$21:$C$73)*(D50=ПОКАЗАТЕЛИ!$D$21:$D$73),),0),6),"")</f>
        <v/>
      </c>
      <c r="I50" s="218" t="str">
        <f>IFERROR(INDEX(ПОКАЗАТЕЛИ!$A$74:$H$299,MATCH(1,INDEX((A50=ПОКАЗАТЕЛИ!$A$74:$A$299)*(C50=ПОКАЗАТЕЛИ!$C$74:$C$299)*(D50=ПОКАЗАТЕЛИ!$D$74:$D$299),),0),6),"")</f>
        <v/>
      </c>
      <c r="J50" s="129" t="str">
        <f>IFERROR(INDEX(ПОКАЗАТЕЛИ!$A$21:$H$73,MATCH(1,INDEX((A50=ПОКАЗАТЕЛИ!$A$21:$A$73)*(C50=ПОКАЗАТЕЛИ!$C$21:$C$73)*(D50=ПОКАЗАТЕЛИ!$D$21:$D$73),),0),7),"")</f>
        <v/>
      </c>
      <c r="K50" s="196" t="str">
        <f>IFERROR(INDEX(ПОКАЗАТЕЛИ!$A$74:$H$299,MATCH(1,INDEX((A50=ПОКАЗАТЕЛИ!$A$74:$A$299)*(C50=ПОКАЗАТЕЛИ!$C$74:$C$299)*(D50=ПОКАЗАТЕЛИ!$D$74:$D$299),),0),7),"")</f>
        <v/>
      </c>
      <c r="L50" s="196" t="str">
        <f>IFERROR(INDEX(ПОКАЗАТЕЛИ!$A$21:$H$73,MATCH(1,INDEX((A50=ПОКАЗАТЕЛИ!$A$21:$A$73)*(C50=ПОКАЗАТЕЛИ!$C$21:$C$73)*(D50=ПОКАЗАТЕЛИ!$D$21:$D$73),),0),8),"")</f>
        <v/>
      </c>
      <c r="M50" s="196" t="str">
        <f>IFERROR(INDEX(ПОКАЗАТЕЛИ!$A$74:$H$299,MATCH(1,INDEX((A50=ПОКАЗАТЕЛИ!$A$74:$A$299)*(C50=ПОКАЗАТЕЛИ!$C$74:$C$299)*(D50=ПОКАЗАТЕЛИ!$D$74:$D$299),),0),8),"")</f>
        <v/>
      </c>
    </row>
    <row r="51" spans="1:13" ht="15" customHeight="1" x14ac:dyDescent="0.25">
      <c r="A51" s="209" t="str">
        <v/>
      </c>
      <c r="B51" s="119" t="str">
        <v/>
      </c>
      <c r="C51" s="119" t="str">
        <v/>
      </c>
      <c r="D51" s="119" t="str">
        <v/>
      </c>
      <c r="E51" s="120"/>
      <c r="F51" s="216" t="str">
        <f>IFERROR(INDEX(ПОКАЗАТЕЛИ!$A$6:$H$20,MATCH(1,INDEX((A51=ПОКАЗАТЕЛИ!$A$6:$A$20)*(C51=ПОКАЗАТЕЛИ!$C$6:$C$20)*(D51=ПОКАЗАТЕЛИ!$D$6:$D$20),),0),6),"")</f>
        <v/>
      </c>
      <c r="G51" s="194"/>
      <c r="H51" s="217" t="str">
        <f>IFERROR(INDEX(ПОКАЗАТЕЛИ!$A$21:$H$73,MATCH(1,INDEX((A51=ПОКАЗАТЕЛИ!$A$21:$A$73)*(C51=ПОКАЗАТЕЛИ!$C$21:$C$73)*(D51=ПОКАЗАТЕЛИ!$D$21:$D$73),),0),6),"")</f>
        <v/>
      </c>
      <c r="I51" s="218" t="str">
        <f>IFERROR(INDEX(ПОКАЗАТЕЛИ!$A$74:$H$299,MATCH(1,INDEX((A51=ПОКАЗАТЕЛИ!$A$74:$A$299)*(C51=ПОКАЗАТЕЛИ!$C$74:$C$299)*(D51=ПОКАЗАТЕЛИ!$D$74:$D$299),),0),6),"")</f>
        <v/>
      </c>
      <c r="J51" s="129" t="str">
        <f>IFERROR(INDEX(ПОКАЗАТЕЛИ!$A$21:$H$73,MATCH(1,INDEX((A51=ПОКАЗАТЕЛИ!$A$21:$A$73)*(C51=ПОКАЗАТЕЛИ!$C$21:$C$73)*(D51=ПОКАЗАТЕЛИ!$D$21:$D$73),),0),7),"")</f>
        <v/>
      </c>
      <c r="K51" s="196" t="str">
        <f>IFERROR(INDEX(ПОКАЗАТЕЛИ!$A$74:$H$299,MATCH(1,INDEX((A51=ПОКАЗАТЕЛИ!$A$74:$A$299)*(C51=ПОКАЗАТЕЛИ!$C$74:$C$299)*(D51=ПОКАЗАТЕЛИ!$D$74:$D$299),),0),7),"")</f>
        <v/>
      </c>
      <c r="L51" s="196" t="str">
        <f>IFERROR(INDEX(ПОКАЗАТЕЛИ!$A$21:$H$73,MATCH(1,INDEX((A51=ПОКАЗАТЕЛИ!$A$21:$A$73)*(C51=ПОКАЗАТЕЛИ!$C$21:$C$73)*(D51=ПОКАЗАТЕЛИ!$D$21:$D$73),),0),8),"")</f>
        <v/>
      </c>
      <c r="M51" s="196" t="str">
        <f>IFERROR(INDEX(ПОКАЗАТЕЛИ!$A$74:$H$299,MATCH(1,INDEX((A51=ПОКАЗАТЕЛИ!$A$74:$A$299)*(C51=ПОКАЗАТЕЛИ!$C$74:$C$299)*(D51=ПОКАЗАТЕЛИ!$D$74:$D$299),),0),8),"")</f>
        <v/>
      </c>
    </row>
    <row r="52" spans="1:13" ht="15" customHeight="1" x14ac:dyDescent="0.25">
      <c r="A52" s="209" t="str">
        <v/>
      </c>
      <c r="B52" s="119" t="str">
        <v/>
      </c>
      <c r="C52" s="119" t="str">
        <v/>
      </c>
      <c r="D52" s="119" t="str">
        <v/>
      </c>
      <c r="E52" s="120"/>
      <c r="F52" s="216" t="str">
        <f>IFERROR(INDEX(ПОКАЗАТЕЛИ!$A$6:$H$20,MATCH(1,INDEX((A52=ПОКАЗАТЕЛИ!$A$6:$A$20)*(C52=ПОКАЗАТЕЛИ!$C$6:$C$20)*(D52=ПОКАЗАТЕЛИ!$D$6:$D$20),),0),6),"")</f>
        <v/>
      </c>
      <c r="G52" s="194"/>
      <c r="H52" s="217" t="str">
        <f>IFERROR(INDEX(ПОКАЗАТЕЛИ!$A$21:$H$73,MATCH(1,INDEX((A52=ПОКАЗАТЕЛИ!$A$21:$A$73)*(C52=ПОКАЗАТЕЛИ!$C$21:$C$73)*(D52=ПОКАЗАТЕЛИ!$D$21:$D$73),),0),6),"")</f>
        <v/>
      </c>
      <c r="I52" s="218" t="str">
        <f>IFERROR(INDEX(ПОКАЗАТЕЛИ!$A$74:$H$299,MATCH(1,INDEX((A52=ПОКАЗАТЕЛИ!$A$74:$A$299)*(C52=ПОКАЗАТЕЛИ!$C$74:$C$299)*(D52=ПОКАЗАТЕЛИ!$D$74:$D$299),),0),6),"")</f>
        <v/>
      </c>
      <c r="J52" s="129" t="str">
        <f>IFERROR(INDEX(ПОКАЗАТЕЛИ!$A$21:$H$73,MATCH(1,INDEX((A52=ПОКАЗАТЕЛИ!$A$21:$A$73)*(C52=ПОКАЗАТЕЛИ!$C$21:$C$73)*(D52=ПОКАЗАТЕЛИ!$D$21:$D$73),),0),7),"")</f>
        <v/>
      </c>
      <c r="K52" s="196" t="str">
        <f>IFERROR(INDEX(ПОКАЗАТЕЛИ!$A$74:$H$299,MATCH(1,INDEX((A52=ПОКАЗАТЕЛИ!$A$74:$A$299)*(C52=ПОКАЗАТЕЛИ!$C$74:$C$299)*(D52=ПОКАЗАТЕЛИ!$D$74:$D$299),),0),7),"")</f>
        <v/>
      </c>
      <c r="L52" s="196" t="str">
        <f>IFERROR(INDEX(ПОКАЗАТЕЛИ!$A$21:$H$73,MATCH(1,INDEX((A52=ПОКАЗАТЕЛИ!$A$21:$A$73)*(C52=ПОКАЗАТЕЛИ!$C$21:$C$73)*(D52=ПОКАЗАТЕЛИ!$D$21:$D$73),),0),8),"")</f>
        <v/>
      </c>
      <c r="M52" s="196" t="str">
        <f>IFERROR(INDEX(ПОКАЗАТЕЛИ!$A$74:$H$299,MATCH(1,INDEX((A52=ПОКАЗАТЕЛИ!$A$74:$A$299)*(C52=ПОКАЗАТЕЛИ!$C$74:$C$299)*(D52=ПОКАЗАТЕЛИ!$D$74:$D$299),),0),8),"")</f>
        <v/>
      </c>
    </row>
    <row r="53" spans="1:13" ht="15" customHeight="1" x14ac:dyDescent="0.25">
      <c r="A53" s="209" t="str">
        <v/>
      </c>
      <c r="B53" s="119" t="str">
        <v/>
      </c>
      <c r="C53" s="119" t="str">
        <v/>
      </c>
      <c r="D53" s="119" t="str">
        <v/>
      </c>
      <c r="E53" s="120"/>
      <c r="F53" s="216" t="str">
        <f>IFERROR(INDEX(ПОКАЗАТЕЛИ!$A$6:$H$20,MATCH(1,INDEX((A53=ПОКАЗАТЕЛИ!$A$6:$A$20)*(C53=ПОКАЗАТЕЛИ!$C$6:$C$20)*(D53=ПОКАЗАТЕЛИ!$D$6:$D$20),),0),6),"")</f>
        <v/>
      </c>
      <c r="G53" s="194"/>
      <c r="H53" s="217" t="str">
        <f>IFERROR(INDEX(ПОКАЗАТЕЛИ!$A$21:$H$73,MATCH(1,INDEX((A53=ПОКАЗАТЕЛИ!$A$21:$A$73)*(C53=ПОКАЗАТЕЛИ!$C$21:$C$73)*(D53=ПОКАЗАТЕЛИ!$D$21:$D$73),),0),6),"")</f>
        <v/>
      </c>
      <c r="I53" s="218" t="str">
        <f>IFERROR(INDEX(ПОКАЗАТЕЛИ!$A$74:$H$299,MATCH(1,INDEX((A53=ПОКАЗАТЕЛИ!$A$74:$A$299)*(C53=ПОКАЗАТЕЛИ!$C$74:$C$299)*(D53=ПОКАЗАТЕЛИ!$D$74:$D$299),),0),6),"")</f>
        <v/>
      </c>
      <c r="J53" s="129" t="str">
        <f>IFERROR(INDEX(ПОКАЗАТЕЛИ!$A$21:$H$73,MATCH(1,INDEX((A53=ПОКАЗАТЕЛИ!$A$21:$A$73)*(C53=ПОКАЗАТЕЛИ!$C$21:$C$73)*(D53=ПОКАЗАТЕЛИ!$D$21:$D$73),),0),7),"")</f>
        <v/>
      </c>
      <c r="K53" s="196" t="str">
        <f>IFERROR(INDEX(ПОКАЗАТЕЛИ!$A$74:$H$299,MATCH(1,INDEX((A53=ПОКАЗАТЕЛИ!$A$74:$A$299)*(C53=ПОКАЗАТЕЛИ!$C$74:$C$299)*(D53=ПОКАЗАТЕЛИ!$D$74:$D$299),),0),7),"")</f>
        <v/>
      </c>
      <c r="L53" s="196" t="str">
        <f>IFERROR(INDEX(ПОКАЗАТЕЛИ!$A$21:$H$73,MATCH(1,INDEX((A53=ПОКАЗАТЕЛИ!$A$21:$A$73)*(C53=ПОКАЗАТЕЛИ!$C$21:$C$73)*(D53=ПОКАЗАТЕЛИ!$D$21:$D$73),),0),8),"")</f>
        <v/>
      </c>
      <c r="M53" s="196" t="str">
        <f>IFERROR(INDEX(ПОКАЗАТЕЛИ!$A$74:$H$299,MATCH(1,INDEX((A53=ПОКАЗАТЕЛИ!$A$74:$A$299)*(C53=ПОКАЗАТЕЛИ!$C$74:$C$299)*(D53=ПОКАЗАТЕЛИ!$D$74:$D$299),),0),8),"")</f>
        <v/>
      </c>
    </row>
    <row r="54" spans="1:13" ht="15" customHeight="1" x14ac:dyDescent="0.25">
      <c r="A54" s="209" t="str">
        <v/>
      </c>
      <c r="B54" s="119" t="str">
        <v/>
      </c>
      <c r="C54" s="119" t="str">
        <v/>
      </c>
      <c r="D54" s="119" t="str">
        <v/>
      </c>
      <c r="E54" s="120"/>
      <c r="F54" s="216" t="str">
        <f>IFERROR(INDEX(ПОКАЗАТЕЛИ!$A$6:$H$20,MATCH(1,INDEX((A54=ПОКАЗАТЕЛИ!$A$6:$A$20)*(C54=ПОКАЗАТЕЛИ!$C$6:$C$20)*(D54=ПОКАЗАТЕЛИ!$D$6:$D$20),),0),6),"")</f>
        <v/>
      </c>
      <c r="G54" s="194"/>
      <c r="H54" s="217" t="str">
        <f>IFERROR(INDEX(ПОКАЗАТЕЛИ!$A$21:$H$73,MATCH(1,INDEX((A54=ПОКАЗАТЕЛИ!$A$21:$A$73)*(C54=ПОКАЗАТЕЛИ!$C$21:$C$73)*(D54=ПОКАЗАТЕЛИ!$D$21:$D$73),),0),6),"")</f>
        <v/>
      </c>
      <c r="I54" s="218" t="str">
        <f>IFERROR(INDEX(ПОКАЗАТЕЛИ!$A$74:$H$299,MATCH(1,INDEX((A54=ПОКАЗАТЕЛИ!$A$74:$A$299)*(C54=ПОКАЗАТЕЛИ!$C$74:$C$299)*(D54=ПОКАЗАТЕЛИ!$D$74:$D$299),),0),6),"")</f>
        <v/>
      </c>
      <c r="J54" s="129" t="str">
        <f>IFERROR(INDEX(ПОКАЗАТЕЛИ!$A$21:$H$73,MATCH(1,INDEX((A54=ПОКАЗАТЕЛИ!$A$21:$A$73)*(C54=ПОКАЗАТЕЛИ!$C$21:$C$73)*(D54=ПОКАЗАТЕЛИ!$D$21:$D$73),),0),7),"")</f>
        <v/>
      </c>
      <c r="K54" s="196" t="str">
        <f>IFERROR(INDEX(ПОКАЗАТЕЛИ!$A$74:$H$299,MATCH(1,INDEX((A54=ПОКАЗАТЕЛИ!$A$74:$A$299)*(C54=ПОКАЗАТЕЛИ!$C$74:$C$299)*(D54=ПОКАЗАТЕЛИ!$D$74:$D$299),),0),7),"")</f>
        <v/>
      </c>
      <c r="L54" s="196" t="str">
        <f>IFERROR(INDEX(ПОКАЗАТЕЛИ!$A$21:$H$73,MATCH(1,INDEX((A54=ПОКАЗАТЕЛИ!$A$21:$A$73)*(C54=ПОКАЗАТЕЛИ!$C$21:$C$73)*(D54=ПОКАЗАТЕЛИ!$D$21:$D$73),),0),8),"")</f>
        <v/>
      </c>
      <c r="M54" s="196" t="str">
        <f>IFERROR(INDEX(ПОКАЗАТЕЛИ!$A$74:$H$299,MATCH(1,INDEX((A54=ПОКАЗАТЕЛИ!$A$74:$A$299)*(C54=ПОКАЗАТЕЛИ!$C$74:$C$299)*(D54=ПОКАЗАТЕЛИ!$D$74:$D$299),),0),8),"")</f>
        <v/>
      </c>
    </row>
    <row r="55" spans="1:13" ht="15" customHeight="1" x14ac:dyDescent="0.25">
      <c r="A55" s="209" t="str">
        <v/>
      </c>
      <c r="B55" s="119" t="str">
        <v/>
      </c>
      <c r="C55" s="119" t="str">
        <v/>
      </c>
      <c r="D55" s="119" t="str">
        <v/>
      </c>
      <c r="E55" s="120"/>
      <c r="F55" s="216" t="str">
        <f>IFERROR(INDEX(ПОКАЗАТЕЛИ!$A$6:$H$20,MATCH(1,INDEX((A55=ПОКАЗАТЕЛИ!$A$6:$A$20)*(C55=ПОКАЗАТЕЛИ!$C$6:$C$20)*(D55=ПОКАЗАТЕЛИ!$D$6:$D$20),),0),6),"")</f>
        <v/>
      </c>
      <c r="G55" s="194"/>
      <c r="H55" s="217" t="str">
        <f>IFERROR(INDEX(ПОКАЗАТЕЛИ!$A$21:$H$73,MATCH(1,INDEX((A55=ПОКАЗАТЕЛИ!$A$21:$A$73)*(C55=ПОКАЗАТЕЛИ!$C$21:$C$73)*(D55=ПОКАЗАТЕЛИ!$D$21:$D$73),),0),6),"")</f>
        <v/>
      </c>
      <c r="I55" s="218" t="str">
        <f>IFERROR(INDEX(ПОКАЗАТЕЛИ!$A$74:$H$299,MATCH(1,INDEX((A55=ПОКАЗАТЕЛИ!$A$74:$A$299)*(C55=ПОКАЗАТЕЛИ!$C$74:$C$299)*(D55=ПОКАЗАТЕЛИ!$D$74:$D$299),),0),6),"")</f>
        <v/>
      </c>
      <c r="J55" s="129" t="str">
        <f>IFERROR(INDEX(ПОКАЗАТЕЛИ!$A$21:$H$73,MATCH(1,INDEX((A55=ПОКАЗАТЕЛИ!$A$21:$A$73)*(C55=ПОКАЗАТЕЛИ!$C$21:$C$73)*(D55=ПОКАЗАТЕЛИ!$D$21:$D$73),),0),7),"")</f>
        <v/>
      </c>
      <c r="K55" s="196" t="str">
        <f>IFERROR(INDEX(ПОКАЗАТЕЛИ!$A$74:$H$299,MATCH(1,INDEX((A55=ПОКАЗАТЕЛИ!$A$74:$A$299)*(C55=ПОКАЗАТЕЛИ!$C$74:$C$299)*(D55=ПОКАЗАТЕЛИ!$D$74:$D$299),),0),7),"")</f>
        <v/>
      </c>
      <c r="L55" s="196" t="str">
        <f>IFERROR(INDEX(ПОКАЗАТЕЛИ!$A$21:$H$73,MATCH(1,INDEX((A55=ПОКАЗАТЕЛИ!$A$21:$A$73)*(C55=ПОКАЗАТЕЛИ!$C$21:$C$73)*(D55=ПОКАЗАТЕЛИ!$D$21:$D$73),),0),8),"")</f>
        <v/>
      </c>
      <c r="M55" s="196" t="str">
        <f>IFERROR(INDEX(ПОКАЗАТЕЛИ!$A$74:$H$299,MATCH(1,INDEX((A55=ПОКАЗАТЕЛИ!$A$74:$A$299)*(C55=ПОКАЗАТЕЛИ!$C$74:$C$299)*(D55=ПОКАЗАТЕЛИ!$D$74:$D$299),),0),8),"")</f>
        <v/>
      </c>
    </row>
    <row r="56" spans="1:13" ht="15" customHeight="1" x14ac:dyDescent="0.25">
      <c r="A56" s="209" t="str">
        <v/>
      </c>
      <c r="B56" s="119" t="str">
        <v/>
      </c>
      <c r="C56" s="119" t="str">
        <v/>
      </c>
      <c r="D56" s="119" t="str">
        <v/>
      </c>
      <c r="E56" s="120"/>
      <c r="F56" s="216" t="str">
        <f>IFERROR(INDEX(ПОКАЗАТЕЛИ!$A$6:$H$20,MATCH(1,INDEX((A56=ПОКАЗАТЕЛИ!$A$6:$A$20)*(C56=ПОКАЗАТЕЛИ!$C$6:$C$20)*(D56=ПОКАЗАТЕЛИ!$D$6:$D$20),),0),6),"")</f>
        <v/>
      </c>
      <c r="G56" s="194"/>
      <c r="H56" s="217" t="str">
        <f>IFERROR(INDEX(ПОКАЗАТЕЛИ!$A$21:$H$73,MATCH(1,INDEX((A56=ПОКАЗАТЕЛИ!$A$21:$A$73)*(C56=ПОКАЗАТЕЛИ!$C$21:$C$73)*(D56=ПОКАЗАТЕЛИ!$D$21:$D$73),),0),6),"")</f>
        <v/>
      </c>
      <c r="I56" s="218" t="str">
        <f>IFERROR(INDEX(ПОКАЗАТЕЛИ!$A$74:$H$299,MATCH(1,INDEX((A56=ПОКАЗАТЕЛИ!$A$74:$A$299)*(C56=ПОКАЗАТЕЛИ!$C$74:$C$299)*(D56=ПОКАЗАТЕЛИ!$D$74:$D$299),),0),6),"")</f>
        <v/>
      </c>
      <c r="J56" s="129" t="str">
        <f>IFERROR(INDEX(ПОКАЗАТЕЛИ!$A$21:$H$73,MATCH(1,INDEX((A56=ПОКАЗАТЕЛИ!$A$21:$A$73)*(C56=ПОКАЗАТЕЛИ!$C$21:$C$73)*(D56=ПОКАЗАТЕЛИ!$D$21:$D$73),),0),7),"")</f>
        <v/>
      </c>
      <c r="K56" s="196" t="str">
        <f>IFERROR(INDEX(ПОКАЗАТЕЛИ!$A$74:$H$299,MATCH(1,INDEX((A56=ПОКАЗАТЕЛИ!$A$74:$A$299)*(C56=ПОКАЗАТЕЛИ!$C$74:$C$299)*(D56=ПОКАЗАТЕЛИ!$D$74:$D$299),),0),7),"")</f>
        <v/>
      </c>
      <c r="L56" s="196" t="str">
        <f>IFERROR(INDEX(ПОКАЗАТЕЛИ!$A$21:$H$73,MATCH(1,INDEX((A56=ПОКАЗАТЕЛИ!$A$21:$A$73)*(C56=ПОКАЗАТЕЛИ!$C$21:$C$73)*(D56=ПОКАЗАТЕЛИ!$D$21:$D$73),),0),8),"")</f>
        <v/>
      </c>
      <c r="M56" s="196" t="str">
        <f>IFERROR(INDEX(ПОКАЗАТЕЛИ!$A$74:$H$299,MATCH(1,INDEX((A56=ПОКАЗАТЕЛИ!$A$74:$A$299)*(C56=ПОКАЗАТЕЛИ!$C$74:$C$299)*(D56=ПОКАЗАТЕЛИ!$D$74:$D$299),),0),8),"")</f>
        <v/>
      </c>
    </row>
    <row r="57" spans="1:13" ht="15" customHeight="1" x14ac:dyDescent="0.25">
      <c r="A57" s="209" t="str">
        <v/>
      </c>
      <c r="B57" s="119" t="str">
        <v/>
      </c>
      <c r="C57" s="119" t="str">
        <v/>
      </c>
      <c r="D57" s="119" t="str">
        <v/>
      </c>
      <c r="E57" s="120"/>
      <c r="F57" s="216" t="str">
        <f>IFERROR(INDEX(ПОКАЗАТЕЛИ!$A$6:$H$20,MATCH(1,INDEX((A57=ПОКАЗАТЕЛИ!$A$6:$A$20)*(C57=ПОКАЗАТЕЛИ!$C$6:$C$20)*(D57=ПОКАЗАТЕЛИ!$D$6:$D$20),),0),6),"")</f>
        <v/>
      </c>
      <c r="G57" s="194"/>
      <c r="H57" s="217" t="str">
        <f>IFERROR(INDEX(ПОКАЗАТЕЛИ!$A$21:$H$73,MATCH(1,INDEX((A57=ПОКАЗАТЕЛИ!$A$21:$A$73)*(C57=ПОКАЗАТЕЛИ!$C$21:$C$73)*(D57=ПОКАЗАТЕЛИ!$D$21:$D$73),),0),6),"")</f>
        <v/>
      </c>
      <c r="I57" s="218" t="str">
        <f>IFERROR(INDEX(ПОКАЗАТЕЛИ!$A$74:$H$299,MATCH(1,INDEX((A57=ПОКАЗАТЕЛИ!$A$74:$A$299)*(C57=ПОКАЗАТЕЛИ!$C$74:$C$299)*(D57=ПОКАЗАТЕЛИ!$D$74:$D$299),),0),6),"")</f>
        <v/>
      </c>
      <c r="J57" s="129" t="str">
        <f>IFERROR(INDEX(ПОКАЗАТЕЛИ!$A$21:$H$73,MATCH(1,INDEX((A57=ПОКАЗАТЕЛИ!$A$21:$A$73)*(C57=ПОКАЗАТЕЛИ!$C$21:$C$73)*(D57=ПОКАЗАТЕЛИ!$D$21:$D$73),),0),7),"")</f>
        <v/>
      </c>
      <c r="K57" s="196" t="str">
        <f>IFERROR(INDEX(ПОКАЗАТЕЛИ!$A$74:$H$299,MATCH(1,INDEX((A57=ПОКАЗАТЕЛИ!$A$74:$A$299)*(C57=ПОКАЗАТЕЛИ!$C$74:$C$299)*(D57=ПОКАЗАТЕЛИ!$D$74:$D$299),),0),7),"")</f>
        <v/>
      </c>
      <c r="L57" s="196" t="str">
        <f>IFERROR(INDEX(ПОКАЗАТЕЛИ!$A$21:$H$73,MATCH(1,INDEX((A57=ПОКАЗАТЕЛИ!$A$21:$A$73)*(C57=ПОКАЗАТЕЛИ!$C$21:$C$73)*(D57=ПОКАЗАТЕЛИ!$D$21:$D$73),),0),8),"")</f>
        <v/>
      </c>
      <c r="M57" s="196" t="str">
        <f>IFERROR(INDEX(ПОКАЗАТЕЛИ!$A$74:$H$299,MATCH(1,INDEX((A57=ПОКАЗАТЕЛИ!$A$74:$A$299)*(C57=ПОКАЗАТЕЛИ!$C$74:$C$299)*(D57=ПОКАЗАТЕЛИ!$D$74:$D$299),),0),8),"")</f>
        <v/>
      </c>
    </row>
    <row r="58" spans="1:13" ht="15" customHeight="1" x14ac:dyDescent="0.25">
      <c r="A58" s="209" t="str">
        <v/>
      </c>
      <c r="B58" s="119" t="str">
        <v/>
      </c>
      <c r="C58" s="119" t="str">
        <v/>
      </c>
      <c r="D58" s="119" t="str">
        <v/>
      </c>
      <c r="E58" s="120"/>
      <c r="F58" s="216" t="str">
        <f>IFERROR(INDEX(ПОКАЗАТЕЛИ!$A$6:$H$20,MATCH(1,INDEX((A58=ПОКАЗАТЕЛИ!$A$6:$A$20)*(C58=ПОКАЗАТЕЛИ!$C$6:$C$20)*(D58=ПОКАЗАТЕЛИ!$D$6:$D$20),),0),6),"")</f>
        <v/>
      </c>
      <c r="G58" s="194"/>
      <c r="H58" s="217" t="str">
        <f>IFERROR(INDEX(ПОКАЗАТЕЛИ!$A$21:$H$73,MATCH(1,INDEX((A58=ПОКАЗАТЕЛИ!$A$21:$A$73)*(C58=ПОКАЗАТЕЛИ!$C$21:$C$73)*(D58=ПОКАЗАТЕЛИ!$D$21:$D$73),),0),6),"")</f>
        <v/>
      </c>
      <c r="I58" s="218" t="str">
        <f>IFERROR(INDEX(ПОКАЗАТЕЛИ!$A$74:$H$299,MATCH(1,INDEX((A58=ПОКАЗАТЕЛИ!$A$74:$A$299)*(C58=ПОКАЗАТЕЛИ!$C$74:$C$299)*(D58=ПОКАЗАТЕЛИ!$D$74:$D$299),),0),6),"")</f>
        <v/>
      </c>
      <c r="J58" s="129" t="str">
        <f>IFERROR(INDEX(ПОКАЗАТЕЛИ!$A$21:$H$73,MATCH(1,INDEX((A58=ПОКАЗАТЕЛИ!$A$21:$A$73)*(C58=ПОКАЗАТЕЛИ!$C$21:$C$73)*(D58=ПОКАЗАТЕЛИ!$D$21:$D$73),),0),7),"")</f>
        <v/>
      </c>
      <c r="K58" s="196" t="str">
        <f>IFERROR(INDEX(ПОКАЗАТЕЛИ!$A$74:$H$299,MATCH(1,INDEX((A58=ПОКАЗАТЕЛИ!$A$74:$A$299)*(C58=ПОКАЗАТЕЛИ!$C$74:$C$299)*(D58=ПОКАЗАТЕЛИ!$D$74:$D$299),),0),7),"")</f>
        <v/>
      </c>
      <c r="L58" s="196" t="str">
        <f>IFERROR(INDEX(ПОКАЗАТЕЛИ!$A$21:$H$73,MATCH(1,INDEX((A58=ПОКАЗАТЕЛИ!$A$21:$A$73)*(C58=ПОКАЗАТЕЛИ!$C$21:$C$73)*(D58=ПОКАЗАТЕЛИ!$D$21:$D$73),),0),8),"")</f>
        <v/>
      </c>
      <c r="M58" s="196" t="str">
        <f>IFERROR(INDEX(ПОКАЗАТЕЛИ!$A$74:$H$299,MATCH(1,INDEX((A58=ПОКАЗАТЕЛИ!$A$74:$A$299)*(C58=ПОКАЗАТЕЛИ!$C$74:$C$299)*(D58=ПОКАЗАТЕЛИ!$D$74:$D$299),),0),8),"")</f>
        <v/>
      </c>
    </row>
    <row r="59" spans="1:13" ht="15" customHeight="1" x14ac:dyDescent="0.25">
      <c r="A59" s="209" t="str">
        <v/>
      </c>
      <c r="B59" s="119" t="str">
        <v/>
      </c>
      <c r="C59" s="119" t="str">
        <v/>
      </c>
      <c r="D59" s="119" t="str">
        <v/>
      </c>
      <c r="E59" s="120"/>
      <c r="F59" s="216" t="str">
        <f>IFERROR(INDEX(ПОКАЗАТЕЛИ!$A$6:$H$20,MATCH(1,INDEX((A59=ПОКАЗАТЕЛИ!$A$6:$A$20)*(C59=ПОКАЗАТЕЛИ!$C$6:$C$20)*(D59=ПОКАЗАТЕЛИ!$D$6:$D$20),),0),6),"")</f>
        <v/>
      </c>
      <c r="G59" s="194"/>
      <c r="H59" s="217" t="str">
        <f>IFERROR(INDEX(ПОКАЗАТЕЛИ!$A$21:$H$73,MATCH(1,INDEX((A59=ПОКАЗАТЕЛИ!$A$21:$A$73)*(C59=ПОКАЗАТЕЛИ!$C$21:$C$73)*(D59=ПОКАЗАТЕЛИ!$D$21:$D$73),),0),6),"")</f>
        <v/>
      </c>
      <c r="I59" s="218" t="str">
        <f>IFERROR(INDEX(ПОКАЗАТЕЛИ!$A$74:$H$299,MATCH(1,INDEX((A59=ПОКАЗАТЕЛИ!$A$74:$A$299)*(C59=ПОКАЗАТЕЛИ!$C$74:$C$299)*(D59=ПОКАЗАТЕЛИ!$D$74:$D$299),),0),6),"")</f>
        <v/>
      </c>
      <c r="J59" s="129" t="str">
        <f>IFERROR(INDEX(ПОКАЗАТЕЛИ!$A$21:$H$73,MATCH(1,INDEX((A59=ПОКАЗАТЕЛИ!$A$21:$A$73)*(C59=ПОКАЗАТЕЛИ!$C$21:$C$73)*(D59=ПОКАЗАТЕЛИ!$D$21:$D$73),),0),7),"")</f>
        <v/>
      </c>
      <c r="K59" s="196" t="str">
        <f>IFERROR(INDEX(ПОКАЗАТЕЛИ!$A$74:$H$299,MATCH(1,INDEX((A59=ПОКАЗАТЕЛИ!$A$74:$A$299)*(C59=ПОКАЗАТЕЛИ!$C$74:$C$299)*(D59=ПОКАЗАТЕЛИ!$D$74:$D$299),),0),7),"")</f>
        <v/>
      </c>
      <c r="L59" s="196" t="str">
        <f>IFERROR(INDEX(ПОКАЗАТЕЛИ!$A$21:$H$73,MATCH(1,INDEX((A59=ПОКАЗАТЕЛИ!$A$21:$A$73)*(C59=ПОКАЗАТЕЛИ!$C$21:$C$73)*(D59=ПОКАЗАТЕЛИ!$D$21:$D$73),),0),8),"")</f>
        <v/>
      </c>
      <c r="M59" s="196" t="str">
        <f>IFERROR(INDEX(ПОКАЗАТЕЛИ!$A$74:$H$299,MATCH(1,INDEX((A59=ПОКАЗАТЕЛИ!$A$74:$A$299)*(C59=ПОКАЗАТЕЛИ!$C$74:$C$299)*(D59=ПОКАЗАТЕЛИ!$D$74:$D$299),),0),8),"")</f>
        <v/>
      </c>
    </row>
    <row r="60" spans="1:13" ht="15" customHeight="1" x14ac:dyDescent="0.25">
      <c r="A60" s="209" t="str">
        <v/>
      </c>
      <c r="B60" s="119" t="str">
        <v/>
      </c>
      <c r="C60" s="119" t="str">
        <v/>
      </c>
      <c r="D60" s="119" t="str">
        <v/>
      </c>
      <c r="E60" s="120"/>
      <c r="F60" s="216" t="str">
        <f>IFERROR(INDEX(ПОКАЗАТЕЛИ!$A$6:$H$20,MATCH(1,INDEX((A60=ПОКАЗАТЕЛИ!$A$6:$A$20)*(C60=ПОКАЗАТЕЛИ!$C$6:$C$20)*(D60=ПОКАЗАТЕЛИ!$D$6:$D$20),),0),6),"")</f>
        <v/>
      </c>
      <c r="G60" s="194"/>
      <c r="H60" s="217" t="str">
        <f>IFERROR(INDEX(ПОКАЗАТЕЛИ!$A$21:$H$73,MATCH(1,INDEX((A60=ПОКАЗАТЕЛИ!$A$21:$A$73)*(C60=ПОКАЗАТЕЛИ!$C$21:$C$73)*(D60=ПОКАЗАТЕЛИ!$D$21:$D$73),),0),6),"")</f>
        <v/>
      </c>
      <c r="I60" s="218" t="str">
        <f>IFERROR(INDEX(ПОКАЗАТЕЛИ!$A$74:$H$299,MATCH(1,INDEX((A60=ПОКАЗАТЕЛИ!$A$74:$A$299)*(C60=ПОКАЗАТЕЛИ!$C$74:$C$299)*(D60=ПОКАЗАТЕЛИ!$D$74:$D$299),),0),6),"")</f>
        <v/>
      </c>
      <c r="J60" s="129" t="str">
        <f>IFERROR(INDEX(ПОКАЗАТЕЛИ!$A$21:$H$73,MATCH(1,INDEX((A60=ПОКАЗАТЕЛИ!$A$21:$A$73)*(C60=ПОКАЗАТЕЛИ!$C$21:$C$73)*(D60=ПОКАЗАТЕЛИ!$D$21:$D$73),),0),7),"")</f>
        <v/>
      </c>
      <c r="K60" s="196" t="str">
        <f>IFERROR(INDEX(ПОКАЗАТЕЛИ!$A$74:$H$299,MATCH(1,INDEX((A60=ПОКАЗАТЕЛИ!$A$74:$A$299)*(C60=ПОКАЗАТЕЛИ!$C$74:$C$299)*(D60=ПОКАЗАТЕЛИ!$D$74:$D$299),),0),7),"")</f>
        <v/>
      </c>
      <c r="L60" s="196" t="str">
        <f>IFERROR(INDEX(ПОКАЗАТЕЛИ!$A$21:$H$73,MATCH(1,INDEX((A60=ПОКАЗАТЕЛИ!$A$21:$A$73)*(C60=ПОКАЗАТЕЛИ!$C$21:$C$73)*(D60=ПОКАЗАТЕЛИ!$D$21:$D$73),),0),8),"")</f>
        <v/>
      </c>
      <c r="M60" s="196" t="str">
        <f>IFERROR(INDEX(ПОКАЗАТЕЛИ!$A$74:$H$299,MATCH(1,INDEX((A60=ПОКАЗАТЕЛИ!$A$74:$A$299)*(C60=ПОКАЗАТЕЛИ!$C$74:$C$299)*(D60=ПОКАЗАТЕЛИ!$D$74:$D$299),),0),8),"")</f>
        <v/>
      </c>
    </row>
    <row r="61" spans="1:13" ht="15" customHeight="1" x14ac:dyDescent="0.25">
      <c r="A61" s="209" t="str">
        <v/>
      </c>
      <c r="B61" s="119" t="str">
        <v/>
      </c>
      <c r="C61" s="119" t="str">
        <v/>
      </c>
      <c r="D61" s="119" t="str">
        <v/>
      </c>
      <c r="E61" s="120"/>
      <c r="F61" s="216" t="str">
        <f>IFERROR(INDEX(ПОКАЗАТЕЛИ!$A$6:$H$20,MATCH(1,INDEX((A61=ПОКАЗАТЕЛИ!$A$6:$A$20)*(C61=ПОКАЗАТЕЛИ!$C$6:$C$20)*(D61=ПОКАЗАТЕЛИ!$D$6:$D$20),),0),6),"")</f>
        <v/>
      </c>
      <c r="G61" s="194"/>
      <c r="H61" s="217" t="str">
        <f>IFERROR(INDEX(ПОКАЗАТЕЛИ!$A$21:$H$73,MATCH(1,INDEX((A61=ПОКАЗАТЕЛИ!$A$21:$A$73)*(C61=ПОКАЗАТЕЛИ!$C$21:$C$73)*(D61=ПОКАЗАТЕЛИ!$D$21:$D$73),),0),6),"")</f>
        <v/>
      </c>
      <c r="I61" s="218" t="str">
        <f>IFERROR(INDEX(ПОКАЗАТЕЛИ!$A$74:$H$299,MATCH(1,INDEX((A61=ПОКАЗАТЕЛИ!$A$74:$A$299)*(C61=ПОКАЗАТЕЛИ!$C$74:$C$299)*(D61=ПОКАЗАТЕЛИ!$D$74:$D$299),),0),6),"")</f>
        <v/>
      </c>
      <c r="J61" s="129" t="str">
        <f>IFERROR(INDEX(ПОКАЗАТЕЛИ!$A$21:$H$73,MATCH(1,INDEX((A61=ПОКАЗАТЕЛИ!$A$21:$A$73)*(C61=ПОКАЗАТЕЛИ!$C$21:$C$73)*(D61=ПОКАЗАТЕЛИ!$D$21:$D$73),),0),7),"")</f>
        <v/>
      </c>
      <c r="K61" s="196" t="str">
        <f>IFERROR(INDEX(ПОКАЗАТЕЛИ!$A$74:$H$299,MATCH(1,INDEX((A61=ПОКАЗАТЕЛИ!$A$74:$A$299)*(C61=ПОКАЗАТЕЛИ!$C$74:$C$299)*(D61=ПОКАЗАТЕЛИ!$D$74:$D$299),),0),7),"")</f>
        <v/>
      </c>
      <c r="L61" s="196" t="str">
        <f>IFERROR(INDEX(ПОКАЗАТЕЛИ!$A$21:$H$73,MATCH(1,INDEX((A61=ПОКАЗАТЕЛИ!$A$21:$A$73)*(C61=ПОКАЗАТЕЛИ!$C$21:$C$73)*(D61=ПОКАЗАТЕЛИ!$D$21:$D$73),),0),8),"")</f>
        <v/>
      </c>
      <c r="M61" s="196" t="str">
        <f>IFERROR(INDEX(ПОКАЗАТЕЛИ!$A$74:$H$299,MATCH(1,INDEX((A61=ПОКАЗАТЕЛИ!$A$74:$A$299)*(C61=ПОКАЗАТЕЛИ!$C$74:$C$299)*(D61=ПОКАЗАТЕЛИ!$D$74:$D$299),),0),8),"")</f>
        <v/>
      </c>
    </row>
    <row r="62" spans="1:13" ht="15" customHeight="1" x14ac:dyDescent="0.25">
      <c r="A62" s="209" t="str">
        <v/>
      </c>
      <c r="B62" s="119" t="str">
        <v/>
      </c>
      <c r="C62" s="119" t="str">
        <v/>
      </c>
      <c r="D62" s="119" t="str">
        <v/>
      </c>
      <c r="E62" s="120"/>
      <c r="F62" s="216" t="str">
        <f>IFERROR(INDEX(ПОКАЗАТЕЛИ!$A$6:$H$20,MATCH(1,INDEX((A62=ПОКАЗАТЕЛИ!$A$6:$A$20)*(C62=ПОКАЗАТЕЛИ!$C$6:$C$20)*(D62=ПОКАЗАТЕЛИ!$D$6:$D$20),),0),6),"")</f>
        <v/>
      </c>
      <c r="G62" s="194"/>
      <c r="H62" s="217" t="str">
        <f>IFERROR(INDEX(ПОКАЗАТЕЛИ!$A$21:$H$73,MATCH(1,INDEX((A62=ПОКАЗАТЕЛИ!$A$21:$A$73)*(C62=ПОКАЗАТЕЛИ!$C$21:$C$73)*(D62=ПОКАЗАТЕЛИ!$D$21:$D$73),),0),6),"")</f>
        <v/>
      </c>
      <c r="I62" s="218" t="str">
        <f>IFERROR(INDEX(ПОКАЗАТЕЛИ!$A$74:$H$299,MATCH(1,INDEX((A62=ПОКАЗАТЕЛИ!$A$74:$A$299)*(C62=ПОКАЗАТЕЛИ!$C$74:$C$299)*(D62=ПОКАЗАТЕЛИ!$D$74:$D$299),),0),6),"")</f>
        <v/>
      </c>
      <c r="J62" s="129" t="str">
        <f>IFERROR(INDEX(ПОКАЗАТЕЛИ!$A$21:$H$73,MATCH(1,INDEX((A62=ПОКАЗАТЕЛИ!$A$21:$A$73)*(C62=ПОКАЗАТЕЛИ!$C$21:$C$73)*(D62=ПОКАЗАТЕЛИ!$D$21:$D$73),),0),7),"")</f>
        <v/>
      </c>
      <c r="K62" s="196" t="str">
        <f>IFERROR(INDEX(ПОКАЗАТЕЛИ!$A$74:$H$299,MATCH(1,INDEX((A62=ПОКАЗАТЕЛИ!$A$74:$A$299)*(C62=ПОКАЗАТЕЛИ!$C$74:$C$299)*(D62=ПОКАЗАТЕЛИ!$D$74:$D$299),),0),7),"")</f>
        <v/>
      </c>
      <c r="L62" s="196" t="str">
        <f>IFERROR(INDEX(ПОКАЗАТЕЛИ!$A$21:$H$73,MATCH(1,INDEX((A62=ПОКАЗАТЕЛИ!$A$21:$A$73)*(C62=ПОКАЗАТЕЛИ!$C$21:$C$73)*(D62=ПОКАЗАТЕЛИ!$D$21:$D$73),),0),8),"")</f>
        <v/>
      </c>
      <c r="M62" s="196" t="str">
        <f>IFERROR(INDEX(ПОКАЗАТЕЛИ!$A$74:$H$299,MATCH(1,INDEX((A62=ПОКАЗАТЕЛИ!$A$74:$A$299)*(C62=ПОКАЗАТЕЛИ!$C$74:$C$299)*(D62=ПОКАЗАТЕЛИ!$D$74:$D$299),),0),8),"")</f>
        <v/>
      </c>
    </row>
    <row r="63" spans="1:13" ht="15" customHeight="1" x14ac:dyDescent="0.25">
      <c r="A63" s="209" t="str">
        <v/>
      </c>
      <c r="B63" s="119" t="str">
        <v/>
      </c>
      <c r="C63" s="119" t="str">
        <v/>
      </c>
      <c r="D63" s="119" t="str">
        <v/>
      </c>
      <c r="E63" s="120"/>
      <c r="F63" s="216" t="str">
        <f>IFERROR(INDEX(ПОКАЗАТЕЛИ!$A$6:$H$20,MATCH(1,INDEX((A63=ПОКАЗАТЕЛИ!$A$6:$A$20)*(C63=ПОКАЗАТЕЛИ!$C$6:$C$20)*(D63=ПОКАЗАТЕЛИ!$D$6:$D$20),),0),6),"")</f>
        <v/>
      </c>
      <c r="G63" s="194"/>
      <c r="H63" s="217" t="str">
        <f>IFERROR(INDEX(ПОКАЗАТЕЛИ!$A$21:$H$73,MATCH(1,INDEX((A63=ПОКАЗАТЕЛИ!$A$21:$A$73)*(C63=ПОКАЗАТЕЛИ!$C$21:$C$73)*(D63=ПОКАЗАТЕЛИ!$D$21:$D$73),),0),6),"")</f>
        <v/>
      </c>
      <c r="I63" s="218" t="str">
        <f>IFERROR(INDEX(ПОКАЗАТЕЛИ!$A$74:$H$299,MATCH(1,INDEX((A63=ПОКАЗАТЕЛИ!$A$74:$A$299)*(C63=ПОКАЗАТЕЛИ!$C$74:$C$299)*(D63=ПОКАЗАТЕЛИ!$D$74:$D$299),),0),6),"")</f>
        <v/>
      </c>
      <c r="J63" s="129" t="str">
        <f>IFERROR(INDEX(ПОКАЗАТЕЛИ!$A$21:$H$73,MATCH(1,INDEX((A63=ПОКАЗАТЕЛИ!$A$21:$A$73)*(C63=ПОКАЗАТЕЛИ!$C$21:$C$73)*(D63=ПОКАЗАТЕЛИ!$D$21:$D$73),),0),7),"")</f>
        <v/>
      </c>
      <c r="K63" s="196" t="str">
        <f>IFERROR(INDEX(ПОКАЗАТЕЛИ!$A$74:$H$299,MATCH(1,INDEX((A63=ПОКАЗАТЕЛИ!$A$74:$A$299)*(C63=ПОКАЗАТЕЛИ!$C$74:$C$299)*(D63=ПОКАЗАТЕЛИ!$D$74:$D$299),),0),7),"")</f>
        <v/>
      </c>
      <c r="L63" s="196" t="str">
        <f>IFERROR(INDEX(ПОКАЗАТЕЛИ!$A$21:$H$73,MATCH(1,INDEX((A63=ПОКАЗАТЕЛИ!$A$21:$A$73)*(C63=ПОКАЗАТЕЛИ!$C$21:$C$73)*(D63=ПОКАЗАТЕЛИ!$D$21:$D$73),),0),8),"")</f>
        <v/>
      </c>
      <c r="M63" s="196" t="str">
        <f>IFERROR(INDEX(ПОКАЗАТЕЛИ!$A$74:$H$299,MATCH(1,INDEX((A63=ПОКАЗАТЕЛИ!$A$74:$A$299)*(C63=ПОКАЗАТЕЛИ!$C$74:$C$299)*(D63=ПОКАЗАТЕЛИ!$D$74:$D$299),),0),8),"")</f>
        <v/>
      </c>
    </row>
    <row r="64" spans="1:13" ht="15" customHeight="1" x14ac:dyDescent="0.25">
      <c r="A64" s="209" t="str">
        <v/>
      </c>
      <c r="B64" s="119" t="str">
        <v/>
      </c>
      <c r="C64" s="119" t="str">
        <v/>
      </c>
      <c r="D64" s="119" t="str">
        <v/>
      </c>
      <c r="E64" s="120"/>
      <c r="F64" s="216" t="str">
        <f>IFERROR(INDEX(ПОКАЗАТЕЛИ!$A$6:$H$20,MATCH(1,INDEX((A64=ПОКАЗАТЕЛИ!$A$6:$A$20)*(C64=ПОКАЗАТЕЛИ!$C$6:$C$20)*(D64=ПОКАЗАТЕЛИ!$D$6:$D$20),),0),6),"")</f>
        <v/>
      </c>
      <c r="G64" s="194"/>
      <c r="H64" s="217" t="str">
        <f>IFERROR(INDEX(ПОКАЗАТЕЛИ!$A$21:$H$73,MATCH(1,INDEX((A64=ПОКАЗАТЕЛИ!$A$21:$A$73)*(C64=ПОКАЗАТЕЛИ!$C$21:$C$73)*(D64=ПОКАЗАТЕЛИ!$D$21:$D$73),),0),6),"")</f>
        <v/>
      </c>
      <c r="I64" s="218" t="str">
        <f>IFERROR(INDEX(ПОКАЗАТЕЛИ!$A$74:$H$299,MATCH(1,INDEX((A64=ПОКАЗАТЕЛИ!$A$74:$A$299)*(C64=ПОКАЗАТЕЛИ!$C$74:$C$299)*(D64=ПОКАЗАТЕЛИ!$D$74:$D$299),),0),6),"")</f>
        <v/>
      </c>
      <c r="J64" s="129" t="str">
        <f>IFERROR(INDEX(ПОКАЗАТЕЛИ!$A$21:$H$73,MATCH(1,INDEX((A64=ПОКАЗАТЕЛИ!$A$21:$A$73)*(C64=ПОКАЗАТЕЛИ!$C$21:$C$73)*(D64=ПОКАЗАТЕЛИ!$D$21:$D$73),),0),7),"")</f>
        <v/>
      </c>
      <c r="K64" s="196" t="str">
        <f>IFERROR(INDEX(ПОКАЗАТЕЛИ!$A$74:$H$299,MATCH(1,INDEX((A64=ПОКАЗАТЕЛИ!$A$74:$A$299)*(C64=ПОКАЗАТЕЛИ!$C$74:$C$299)*(D64=ПОКАЗАТЕЛИ!$D$74:$D$299),),0),7),"")</f>
        <v/>
      </c>
      <c r="L64" s="196" t="str">
        <f>IFERROR(INDEX(ПОКАЗАТЕЛИ!$A$21:$H$73,MATCH(1,INDEX((A64=ПОКАЗАТЕЛИ!$A$21:$A$73)*(C64=ПОКАЗАТЕЛИ!$C$21:$C$73)*(D64=ПОКАЗАТЕЛИ!$D$21:$D$73),),0),8),"")</f>
        <v/>
      </c>
      <c r="M64" s="196" t="str">
        <f>IFERROR(INDEX(ПОКАЗАТЕЛИ!$A$74:$H$299,MATCH(1,INDEX((A64=ПОКАЗАТЕЛИ!$A$74:$A$299)*(C64=ПОКАЗАТЕЛИ!$C$74:$C$299)*(D64=ПОКАЗАТЕЛИ!$D$74:$D$299),),0),8),"")</f>
        <v/>
      </c>
    </row>
    <row r="65" spans="1:14" ht="15" customHeight="1" x14ac:dyDescent="0.25">
      <c r="A65" s="209" t="str">
        <v/>
      </c>
      <c r="B65" s="119" t="str">
        <v/>
      </c>
      <c r="C65" s="119" t="str">
        <v/>
      </c>
      <c r="D65" s="119" t="str">
        <v/>
      </c>
      <c r="E65" s="120"/>
      <c r="F65" s="216" t="str">
        <f>IFERROR(INDEX(ПОКАЗАТЕЛИ!$A$6:$H$20,MATCH(1,INDEX((A65=ПОКАЗАТЕЛИ!$A$6:$A$20)*(C65=ПОКАЗАТЕЛИ!$C$6:$C$20)*(D65=ПОКАЗАТЕЛИ!$D$6:$D$20),),0),6),"")</f>
        <v/>
      </c>
      <c r="G65" s="194"/>
      <c r="H65" s="217" t="str">
        <f>IFERROR(INDEX(ПОКАЗАТЕЛИ!$A$21:$H$73,MATCH(1,INDEX((A65=ПОКАЗАТЕЛИ!$A$21:$A$73)*(C65=ПОКАЗАТЕЛИ!$C$21:$C$73)*(D65=ПОКАЗАТЕЛИ!$D$21:$D$73),),0),6),"")</f>
        <v/>
      </c>
      <c r="I65" s="218" t="str">
        <f>IFERROR(INDEX(ПОКАЗАТЕЛИ!$A$74:$H$299,MATCH(1,INDEX((A65=ПОКАЗАТЕЛИ!$A$74:$A$299)*(C65=ПОКАЗАТЕЛИ!$C$74:$C$299)*(D65=ПОКАЗАТЕЛИ!$D$74:$D$299),),0),6),"")</f>
        <v/>
      </c>
      <c r="J65" s="129" t="str">
        <f>IFERROR(INDEX(ПОКАЗАТЕЛИ!$A$21:$H$73,MATCH(1,INDEX((A65=ПОКАЗАТЕЛИ!$A$21:$A$73)*(C65=ПОКАЗАТЕЛИ!$C$21:$C$73)*(D65=ПОКАЗАТЕЛИ!$D$21:$D$73),),0),7),"")</f>
        <v/>
      </c>
      <c r="K65" s="196" t="str">
        <f>IFERROR(INDEX(ПОКАЗАТЕЛИ!$A$74:$H$299,MATCH(1,INDEX((A65=ПОКАЗАТЕЛИ!$A$74:$A$299)*(C65=ПОКАЗАТЕЛИ!$C$74:$C$299)*(D65=ПОКАЗАТЕЛИ!$D$74:$D$299),),0),7),"")</f>
        <v/>
      </c>
      <c r="L65" s="196" t="str">
        <f>IFERROR(INDEX(ПОКАЗАТЕЛИ!$A$21:$H$73,MATCH(1,INDEX((A65=ПОКАЗАТЕЛИ!$A$21:$A$73)*(C65=ПОКАЗАТЕЛИ!$C$21:$C$73)*(D65=ПОКАЗАТЕЛИ!$D$21:$D$73),),0),8),"")</f>
        <v/>
      </c>
      <c r="M65" s="196" t="str">
        <f>IFERROR(INDEX(ПОКАЗАТЕЛИ!$A$74:$H$299,MATCH(1,INDEX((A65=ПОКАЗАТЕЛИ!$A$74:$A$299)*(C65=ПОКАЗАТЕЛИ!$C$74:$C$299)*(D65=ПОКАЗАТЕЛИ!$D$74:$D$299),),0),8),"")</f>
        <v/>
      </c>
    </row>
    <row r="66" spans="1:14" ht="15" customHeight="1" x14ac:dyDescent="0.25">
      <c r="A66" s="209" t="str">
        <v/>
      </c>
      <c r="B66" s="119" t="str">
        <v/>
      </c>
      <c r="C66" s="119" t="str">
        <v/>
      </c>
      <c r="D66" s="119" t="str">
        <v/>
      </c>
      <c r="E66" s="120"/>
      <c r="F66" s="216" t="str">
        <f>IFERROR(INDEX(ПОКАЗАТЕЛИ!$A$6:$H$20,MATCH(1,INDEX((A66=ПОКАЗАТЕЛИ!$A$6:$A$20)*(C66=ПОКАЗАТЕЛИ!$C$6:$C$20)*(D66=ПОКАЗАТЕЛИ!$D$6:$D$20),),0),6),"")</f>
        <v/>
      </c>
      <c r="G66" s="194"/>
      <c r="H66" s="217" t="str">
        <f>IFERROR(INDEX(ПОКАЗАТЕЛИ!$A$21:$H$73,MATCH(1,INDEX((A66=ПОКАЗАТЕЛИ!$A$21:$A$73)*(C66=ПОКАЗАТЕЛИ!$C$21:$C$73)*(D66=ПОКАЗАТЕЛИ!$D$21:$D$73),),0),6),"")</f>
        <v/>
      </c>
      <c r="I66" s="218" t="str">
        <f>IFERROR(INDEX(ПОКАЗАТЕЛИ!$A$74:$H$299,MATCH(1,INDEX((A66=ПОКАЗАТЕЛИ!$A$74:$A$299)*(C66=ПОКАЗАТЕЛИ!$C$74:$C$299)*(D66=ПОКАЗАТЕЛИ!$D$74:$D$299),),0),6),"")</f>
        <v/>
      </c>
      <c r="J66" s="129" t="str">
        <f>IFERROR(INDEX(ПОКАЗАТЕЛИ!$A$21:$H$73,MATCH(1,INDEX((A66=ПОКАЗАТЕЛИ!$A$21:$A$73)*(C66=ПОКАЗАТЕЛИ!$C$21:$C$73)*(D66=ПОКАЗАТЕЛИ!$D$21:$D$73),),0),7),"")</f>
        <v/>
      </c>
      <c r="K66" s="196" t="str">
        <f>IFERROR(INDEX(ПОКАЗАТЕЛИ!$A$74:$H$299,MATCH(1,INDEX((A66=ПОКАЗАТЕЛИ!$A$74:$A$299)*(C66=ПОКАЗАТЕЛИ!$C$74:$C$299)*(D66=ПОКАЗАТЕЛИ!$D$74:$D$299),),0),7),"")</f>
        <v/>
      </c>
      <c r="L66" s="196" t="str">
        <f>IFERROR(INDEX(ПОКАЗАТЕЛИ!$A$21:$H$73,MATCH(1,INDEX((A66=ПОКАЗАТЕЛИ!$A$21:$A$73)*(C66=ПОКАЗАТЕЛИ!$C$21:$C$73)*(D66=ПОКАЗАТЕЛИ!$D$21:$D$73),),0),8),"")</f>
        <v/>
      </c>
      <c r="M66" s="196" t="str">
        <f>IFERROR(INDEX(ПОКАЗАТЕЛИ!$A$74:$H$299,MATCH(1,INDEX((A66=ПОКАЗАТЕЛИ!$A$74:$A$299)*(C66=ПОКАЗАТЕЛИ!$C$74:$C$299)*(D66=ПОКАЗАТЕЛИ!$D$74:$D$299),),0),8),"")</f>
        <v/>
      </c>
    </row>
    <row r="67" spans="1:14" ht="15" customHeight="1" x14ac:dyDescent="0.25">
      <c r="A67" s="209" t="str">
        <v/>
      </c>
      <c r="B67" s="119" t="str">
        <v/>
      </c>
      <c r="C67" s="119" t="str">
        <v/>
      </c>
      <c r="D67" s="119" t="str">
        <v/>
      </c>
      <c r="E67" s="120"/>
      <c r="F67" s="216" t="str">
        <f>IFERROR(INDEX(ПОКАЗАТЕЛИ!$A$6:$H$20,MATCH(1,INDEX((A67=ПОКАЗАТЕЛИ!$A$6:$A$20)*(C67=ПОКАЗАТЕЛИ!$C$6:$C$20)*(D67=ПОКАЗАТЕЛИ!$D$6:$D$20),),0),6),"")</f>
        <v/>
      </c>
      <c r="G67" s="194"/>
      <c r="H67" s="217" t="str">
        <f>IFERROR(INDEX(ПОКАЗАТЕЛИ!$A$21:$H$73,MATCH(1,INDEX((A67=ПОКАЗАТЕЛИ!$A$21:$A$73)*(C67=ПОКАЗАТЕЛИ!$C$21:$C$73)*(D67=ПОКАЗАТЕЛИ!$D$21:$D$73),),0),6),"")</f>
        <v/>
      </c>
      <c r="I67" s="218" t="str">
        <f>IFERROR(INDEX(ПОКАЗАТЕЛИ!$A$74:$H$299,MATCH(1,INDEX((A67=ПОКАЗАТЕЛИ!$A$74:$A$299)*(C67=ПОКАЗАТЕЛИ!$C$74:$C$299)*(D67=ПОКАЗАТЕЛИ!$D$74:$D$299),),0),6),"")</f>
        <v/>
      </c>
      <c r="J67" s="129" t="str">
        <f>IFERROR(INDEX(ПОКАЗАТЕЛИ!$A$21:$H$73,MATCH(1,INDEX((A67=ПОКАЗАТЕЛИ!$A$21:$A$73)*(C67=ПОКАЗАТЕЛИ!$C$21:$C$73)*(D67=ПОКАЗАТЕЛИ!$D$21:$D$73),),0),7),"")</f>
        <v/>
      </c>
      <c r="K67" s="196" t="str">
        <f>IFERROR(INDEX(ПОКАЗАТЕЛИ!$A$74:$H$299,MATCH(1,INDEX((A67=ПОКАЗАТЕЛИ!$A$74:$A$299)*(C67=ПОКАЗАТЕЛИ!$C$74:$C$299)*(D67=ПОКАЗАТЕЛИ!$D$74:$D$299),),0),7),"")</f>
        <v/>
      </c>
      <c r="L67" s="196" t="str">
        <f>IFERROR(INDEX(ПОКАЗАТЕЛИ!$A$21:$H$73,MATCH(1,INDEX((A67=ПОКАЗАТЕЛИ!$A$21:$A$73)*(C67=ПОКАЗАТЕЛИ!$C$21:$C$73)*(D67=ПОКАЗАТЕЛИ!$D$21:$D$73),),0),8),"")</f>
        <v/>
      </c>
      <c r="M67" s="196" t="str">
        <f>IFERROR(INDEX(ПОКАЗАТЕЛИ!$A$74:$H$299,MATCH(1,INDEX((A67=ПОКАЗАТЕЛИ!$A$74:$A$299)*(C67=ПОКАЗАТЕЛИ!$C$74:$C$299)*(D67=ПОКАЗАТЕЛИ!$D$74:$D$299),),0),8),"")</f>
        <v/>
      </c>
    </row>
    <row r="68" spans="1:14" ht="15" customHeight="1" x14ac:dyDescent="0.25">
      <c r="A68" s="209" t="str">
        <v/>
      </c>
      <c r="B68" s="119" t="str">
        <v/>
      </c>
      <c r="C68" s="119" t="str">
        <v/>
      </c>
      <c r="D68" s="119" t="str">
        <v/>
      </c>
      <c r="E68" s="120"/>
      <c r="F68" s="216" t="str">
        <f>IFERROR(INDEX(ПОКАЗАТЕЛИ!$A$6:$H$20,MATCH(1,INDEX((A68=ПОКАЗАТЕЛИ!$A$6:$A$20)*(C68=ПОКАЗАТЕЛИ!$C$6:$C$20)*(D68=ПОКАЗАТЕЛИ!$D$6:$D$20),),0),6),"")</f>
        <v/>
      </c>
      <c r="G68" s="194"/>
      <c r="H68" s="217" t="str">
        <f>IFERROR(INDEX(ПОКАЗАТЕЛИ!$A$21:$H$73,MATCH(1,INDEX((A68=ПОКАЗАТЕЛИ!$A$21:$A$73)*(C68=ПОКАЗАТЕЛИ!$C$21:$C$73)*(D68=ПОКАЗАТЕЛИ!$D$21:$D$73),),0),6),"")</f>
        <v/>
      </c>
      <c r="I68" s="218" t="str">
        <f>IFERROR(INDEX(ПОКАЗАТЕЛИ!$A$74:$H$299,MATCH(1,INDEX((A68=ПОКАЗАТЕЛИ!$A$74:$A$299)*(C68=ПОКАЗАТЕЛИ!$C$74:$C$299)*(D68=ПОКАЗАТЕЛИ!$D$74:$D$299),),0),6),"")</f>
        <v/>
      </c>
      <c r="J68" s="129" t="str">
        <f>IFERROR(INDEX(ПОКАЗАТЕЛИ!$A$21:$H$73,MATCH(1,INDEX((A68=ПОКАЗАТЕЛИ!$A$21:$A$73)*(C68=ПОКАЗАТЕЛИ!$C$21:$C$73)*(D68=ПОКАЗАТЕЛИ!$D$21:$D$73),),0),7),"")</f>
        <v/>
      </c>
      <c r="K68" s="196" t="str">
        <f>IFERROR(INDEX(ПОКАЗАТЕЛИ!$A$74:$H$299,MATCH(1,INDEX((A68=ПОКАЗАТЕЛИ!$A$74:$A$299)*(C68=ПОКАЗАТЕЛИ!$C$74:$C$299)*(D68=ПОКАЗАТЕЛИ!$D$74:$D$299),),0),7),"")</f>
        <v/>
      </c>
      <c r="L68" s="196" t="str">
        <f>IFERROR(INDEX(ПОКАЗАТЕЛИ!$A$21:$H$73,MATCH(1,INDEX((A68=ПОКАЗАТЕЛИ!$A$21:$A$73)*(C68=ПОКАЗАТЕЛИ!$C$21:$C$73)*(D68=ПОКАЗАТЕЛИ!$D$21:$D$73),),0),8),"")</f>
        <v/>
      </c>
      <c r="M68" s="196" t="str">
        <f>IFERROR(INDEX(ПОКАЗАТЕЛИ!$A$74:$H$299,MATCH(1,INDEX((A68=ПОКАЗАТЕЛИ!$A$74:$A$299)*(C68=ПОКАЗАТЕЛИ!$C$74:$C$299)*(D68=ПОКАЗАТЕЛИ!$D$74:$D$299),),0),8),"")</f>
        <v/>
      </c>
    </row>
    <row r="69" spans="1:14" ht="15" customHeight="1" x14ac:dyDescent="0.25">
      <c r="A69" s="209" t="str">
        <v/>
      </c>
      <c r="B69" s="119" t="str">
        <v/>
      </c>
      <c r="C69" s="119" t="str">
        <v/>
      </c>
      <c r="D69" s="119" t="str">
        <v/>
      </c>
      <c r="E69" s="120"/>
      <c r="F69" s="216" t="str">
        <f>IFERROR(INDEX(ПОКАЗАТЕЛИ!$A$6:$H$20,MATCH(1,INDEX((A69=ПОКАЗАТЕЛИ!$A$6:$A$20)*(C69=ПОКАЗАТЕЛИ!$C$6:$C$20)*(D69=ПОКАЗАТЕЛИ!$D$6:$D$20),),0),6),"")</f>
        <v/>
      </c>
      <c r="G69" s="194"/>
      <c r="H69" s="217" t="str">
        <f>IFERROR(INDEX(ПОКАЗАТЕЛИ!$A$21:$H$73,MATCH(1,INDEX((A69=ПОКАЗАТЕЛИ!$A$21:$A$73)*(C69=ПОКАЗАТЕЛИ!$C$21:$C$73)*(D69=ПОКАЗАТЕЛИ!$D$21:$D$73),),0),6),"")</f>
        <v/>
      </c>
      <c r="I69" s="218" t="str">
        <f>IFERROR(INDEX(ПОКАЗАТЕЛИ!$A$74:$H$299,MATCH(1,INDEX((A69=ПОКАЗАТЕЛИ!$A$74:$A$299)*(C69=ПОКАЗАТЕЛИ!$C$74:$C$299)*(D69=ПОКАЗАТЕЛИ!$D$74:$D$299),),0),6),"")</f>
        <v/>
      </c>
      <c r="J69" s="129" t="str">
        <f>IFERROR(INDEX(ПОКАЗАТЕЛИ!$A$21:$H$73,MATCH(1,INDEX((A69=ПОКАЗАТЕЛИ!$A$21:$A$73)*(C69=ПОКАЗАТЕЛИ!$C$21:$C$73)*(D69=ПОКАЗАТЕЛИ!$D$21:$D$73),),0),7),"")</f>
        <v/>
      </c>
      <c r="K69" s="196" t="str">
        <f>IFERROR(INDEX(ПОКАЗАТЕЛИ!$A$74:$H$299,MATCH(1,INDEX((A69=ПОКАЗАТЕЛИ!$A$74:$A$299)*(C69=ПОКАЗАТЕЛИ!$C$74:$C$299)*(D69=ПОКАЗАТЕЛИ!$D$74:$D$299),),0),7),"")</f>
        <v/>
      </c>
      <c r="L69" s="196" t="str">
        <f>IFERROR(INDEX(ПОКАЗАТЕЛИ!$A$21:$H$73,MATCH(1,INDEX((A69=ПОКАЗАТЕЛИ!$A$21:$A$73)*(C69=ПОКАЗАТЕЛИ!$C$21:$C$73)*(D69=ПОКАЗАТЕЛИ!$D$21:$D$73),),0),8),"")</f>
        <v/>
      </c>
      <c r="M69" s="196" t="str">
        <f>IFERROR(INDEX(ПОКАЗАТЕЛИ!$A$74:$H$299,MATCH(1,INDEX((A69=ПОКАЗАТЕЛИ!$A$74:$A$299)*(C69=ПОКАЗАТЕЛИ!$C$74:$C$299)*(D69=ПОКАЗАТЕЛИ!$D$74:$D$299),),0),8),"")</f>
        <v/>
      </c>
    </row>
    <row r="70" spans="1:14" ht="15.75" customHeight="1" thickBot="1" x14ac:dyDescent="0.3">
      <c r="A70" s="422" t="str">
        <f>IF(OR(A19&lt;&gt;"",ROUND((F70+H70-I70),2)=0),"","НЕ ЗАПОЛНЕНО")</f>
        <v/>
      </c>
      <c r="B70" s="437" t="s">
        <v>808</v>
      </c>
      <c r="C70" s="437"/>
      <c r="D70" s="437"/>
      <c r="E70" s="438"/>
      <c r="F70" s="253">
        <f t="shared" ref="F70:M70" si="0">SUM(F19:F69)</f>
        <v>45000000</v>
      </c>
      <c r="G70" s="255">
        <f t="shared" si="0"/>
        <v>0</v>
      </c>
      <c r="H70" s="148">
        <f t="shared" si="0"/>
        <v>47426200</v>
      </c>
      <c r="I70" s="149">
        <f t="shared" si="0"/>
        <v>92426200</v>
      </c>
      <c r="J70" s="252">
        <f t="shared" si="0"/>
        <v>0</v>
      </c>
      <c r="K70" s="253">
        <f t="shared" si="0"/>
        <v>0</v>
      </c>
      <c r="L70" s="253">
        <f t="shared" si="0"/>
        <v>0</v>
      </c>
      <c r="M70" s="253">
        <f t="shared" si="0"/>
        <v>0</v>
      </c>
    </row>
    <row r="71" spans="1:14" ht="15.75" customHeight="1" x14ac:dyDescent="0.25">
      <c r="A71" s="422"/>
      <c r="B71" s="243"/>
      <c r="C71" s="243"/>
      <c r="D71" s="243"/>
      <c r="E71" s="243"/>
      <c r="F71" s="244"/>
      <c r="G71" s="244"/>
      <c r="H71" s="244"/>
      <c r="I71" s="244"/>
      <c r="J71" s="245"/>
      <c r="K71" s="245"/>
      <c r="L71" s="244"/>
      <c r="M71" s="244"/>
    </row>
    <row r="72" spans="1:14" ht="15" customHeight="1" x14ac:dyDescent="0.3">
      <c r="A72" s="356"/>
      <c r="B72" s="125"/>
      <c r="C72" s="110"/>
      <c r="D72" s="110"/>
      <c r="E72" s="110"/>
      <c r="F72" s="110"/>
      <c r="G72" s="126"/>
      <c r="H72" s="452" t="str">
        <f>IFERROR(INDEX(УЧРЕЖДЕНИЯ!$L$14:$L$53,MATCH(ТИТУЛ!$CO$20,УЧРЕЖДЕНИЯ!$C$14:$C$53,0)),"")</f>
        <v>Главный бухгалтер</v>
      </c>
      <c r="I72" s="452"/>
      <c r="J72" s="424" t="str">
        <f>IF(OR(E73="ВСЕ НЕ ВЕРНО",A70="НЕ ЗАПОЛНЕНО",A1="НЕ ПЕЧАТАЕТЬСЯ",A3="НЕ ПРЕДСТАВЛЯЕТЬСЯ"),"НЕТ ПОДПИСИ","")</f>
        <v/>
      </c>
      <c r="K72" s="424"/>
      <c r="L72" s="442" t="str">
        <f>IFERROR(INDEX(УЧРЕЖДЕНИЯ!$M$14:$M$53,MATCH(ТИТУЛ!$CO$20,УЧРЕЖДЕНИЯ!$C$14:$C$53,0)),"")</f>
        <v>Артемьева Елизавета Михайловна</v>
      </c>
      <c r="M72" s="442"/>
    </row>
    <row r="73" spans="1:14" ht="15" customHeight="1" x14ac:dyDescent="0.4">
      <c r="A73" s="130" t="str">
        <f>IF(AND(F70+H70=I70,I70=F70+ПОКАЗАТЕЛИ!F44+ПОКАЗАТЕЛИ!F56),"","НЕ ВЕРНО")</f>
        <v/>
      </c>
      <c r="B73" s="424" t="str">
        <f>IF(A73="НЕ ВЕРНО","1 ГОД","")</f>
        <v/>
      </c>
      <c r="C73" s="425"/>
      <c r="D73" s="425"/>
      <c r="E73" s="441" t="str">
        <f>IF(AND(B73="",B74="",B75=""),"","ВСЕ НЕ ВЕРНО")</f>
        <v/>
      </c>
      <c r="F73" s="441"/>
      <c r="G73" s="441"/>
      <c r="H73" s="453"/>
      <c r="I73" s="453"/>
      <c r="J73" s="456"/>
      <c r="K73" s="456"/>
      <c r="L73" s="455"/>
      <c r="M73" s="455"/>
    </row>
    <row r="74" spans="1:14" ht="15" customHeight="1" x14ac:dyDescent="0.4">
      <c r="A74" s="130" t="str">
        <f>IF(AND(J70=K70,K70=ПОКАЗАТЕЛИ!G44+ПОКАЗАТЕЛИ!G56),"","НЕ ВЕРНО")</f>
        <v/>
      </c>
      <c r="B74" s="424" t="str">
        <f>IF(A74="НЕ ВЕРНО","2 ГОД","")</f>
        <v/>
      </c>
      <c r="C74" s="425"/>
      <c r="D74" s="425"/>
      <c r="E74" s="441"/>
      <c r="F74" s="441"/>
      <c r="G74" s="441"/>
      <c r="H74" s="206"/>
      <c r="I74" s="206"/>
      <c r="J74" s="306" t="s">
        <v>148</v>
      </c>
      <c r="K74" s="423"/>
      <c r="L74" s="207"/>
      <c r="M74" s="207"/>
    </row>
    <row r="75" spans="1:14" ht="15" customHeight="1" x14ac:dyDescent="0.4">
      <c r="A75" s="130" t="str">
        <f>IF(AND(L70=M70,M70=ПОКАЗАТЕЛИ!H44+ПОКАЗАТЕЛИ!H56),"","НЕ ВЕРНО")</f>
        <v/>
      </c>
      <c r="B75" s="424" t="str">
        <f>IF(A75="НЕ ВЕРНО","3 ГОД","")</f>
        <v/>
      </c>
      <c r="C75" s="425"/>
      <c r="D75" s="425"/>
      <c r="E75" s="441"/>
      <c r="F75" s="441"/>
      <c r="G75" s="441"/>
      <c r="H75" s="44"/>
      <c r="I75" s="121"/>
      <c r="J75" s="424" t="str">
        <f>ПОКАЗАТЕЛИ!J304</f>
        <v/>
      </c>
      <c r="K75" s="358"/>
      <c r="L75" s="442" t="str">
        <f>ПОКАЗАТЕЛИ!L304</f>
        <v>Артемьева Елизавета Михайловна</v>
      </c>
      <c r="M75" s="390"/>
    </row>
    <row r="76" spans="1:14" ht="15" customHeight="1" x14ac:dyDescent="0.3">
      <c r="C76" s="202"/>
      <c r="D76" s="202"/>
      <c r="E76" s="202"/>
      <c r="F76" s="202"/>
      <c r="G76" s="202"/>
      <c r="H76" s="454" t="s">
        <v>344</v>
      </c>
      <c r="I76" s="454"/>
      <c r="J76" s="443"/>
      <c r="K76" s="443"/>
      <c r="L76" s="390"/>
      <c r="M76" s="390"/>
      <c r="N76" s="22"/>
    </row>
    <row r="77" spans="1:14" ht="15" customHeight="1" x14ac:dyDescent="0.3">
      <c r="B77" s="202"/>
      <c r="C77" s="202"/>
      <c r="D77" s="202"/>
      <c r="E77" s="202"/>
      <c r="F77" s="202"/>
      <c r="G77" s="202"/>
      <c r="H77" s="210"/>
      <c r="I77" s="210"/>
      <c r="J77" s="446" t="s">
        <v>148</v>
      </c>
      <c r="K77" s="447"/>
      <c r="L77" s="210"/>
      <c r="M77" s="210"/>
    </row>
    <row r="78" spans="1:14" ht="36.6" x14ac:dyDescent="0.3">
      <c r="B78" s="200"/>
      <c r="C78" s="200"/>
      <c r="D78" s="200"/>
      <c r="E78" s="200"/>
      <c r="F78" s="200"/>
      <c r="G78" s="200"/>
      <c r="H78" s="125"/>
      <c r="I78" s="125"/>
      <c r="J78" s="237"/>
      <c r="K78" s="237"/>
      <c r="L78" s="237"/>
      <c r="M78" s="237"/>
    </row>
    <row r="79" spans="1:14" ht="6.75" customHeight="1" x14ac:dyDescent="0.3">
      <c r="B79" s="205"/>
      <c r="C79" s="205"/>
      <c r="D79" s="205"/>
      <c r="E79" s="205"/>
      <c r="F79" s="205"/>
      <c r="G79" s="126"/>
      <c r="H79" s="125"/>
      <c r="I79" s="125"/>
      <c r="J79" s="237"/>
      <c r="K79" s="237"/>
      <c r="L79" s="237"/>
      <c r="M79" s="237"/>
    </row>
    <row r="80" spans="1:14" ht="14.4" x14ac:dyDescent="0.3">
      <c r="B80" s="21"/>
      <c r="C80" s="21"/>
      <c r="D80" s="21"/>
      <c r="E80" s="21"/>
      <c r="F80" s="21"/>
      <c r="G80" s="127"/>
      <c r="H80" s="237"/>
      <c r="I80" s="237"/>
      <c r="J80" s="237"/>
      <c r="K80" s="237"/>
      <c r="L80" s="237"/>
      <c r="M80" s="237"/>
    </row>
  </sheetData>
  <sheetProtection password="E80F" sheet="1" objects="1" scenarios="1" formatCells="0" formatColumns="0" formatRows="0" insertColumns="0" insertRows="0" insertHyperlinks="0" deleteColumns="0" deleteRows="0" sort="0" autoFilter="0" pivotTables="0"/>
  <dataConsolidate/>
  <mergeCells count="46">
    <mergeCell ref="I1:M1"/>
    <mergeCell ref="I2:M2"/>
    <mergeCell ref="A5:F6"/>
    <mergeCell ref="I3:M4"/>
    <mergeCell ref="B10:J12"/>
    <mergeCell ref="L5:M6"/>
    <mergeCell ref="K11:L11"/>
    <mergeCell ref="J5:K6"/>
    <mergeCell ref="A1:F2"/>
    <mergeCell ref="A3:F4"/>
    <mergeCell ref="H7:I7"/>
    <mergeCell ref="L7:M7"/>
    <mergeCell ref="J7:K7"/>
    <mergeCell ref="K13:L13"/>
    <mergeCell ref="K12:L12"/>
    <mergeCell ref="I5:I6"/>
    <mergeCell ref="A8:M8"/>
    <mergeCell ref="A9:M9"/>
    <mergeCell ref="A10:A12"/>
    <mergeCell ref="B13:J15"/>
    <mergeCell ref="A13:A15"/>
    <mergeCell ref="J77:K77"/>
    <mergeCell ref="H17:I17"/>
    <mergeCell ref="J17:K17"/>
    <mergeCell ref="L17:M17"/>
    <mergeCell ref="H72:I73"/>
    <mergeCell ref="H76:I76"/>
    <mergeCell ref="L72:M73"/>
    <mergeCell ref="J72:K73"/>
    <mergeCell ref="B75:D75"/>
    <mergeCell ref="E73:G75"/>
    <mergeCell ref="L75:M76"/>
    <mergeCell ref="J75:K76"/>
    <mergeCell ref="F16:F18"/>
    <mergeCell ref="H16:M16"/>
    <mergeCell ref="A70:A72"/>
    <mergeCell ref="J74:K74"/>
    <mergeCell ref="B73:D73"/>
    <mergeCell ref="B74:D74"/>
    <mergeCell ref="E16:E18"/>
    <mergeCell ref="B16:B18"/>
    <mergeCell ref="C16:C18"/>
    <mergeCell ref="D16:D18"/>
    <mergeCell ref="A16:A18"/>
    <mergeCell ref="B70:E70"/>
    <mergeCell ref="G16:G18"/>
  </mergeCells>
  <printOptions horizontalCentered="1"/>
  <pageMargins left="0.39370078740157483" right="0.39370078740157483" top="0.39370078740157483" bottom="0" header="0" footer="0"/>
  <pageSetup paperSize="9" scale="88" firstPageNumber="11" orientation="landscape" useFirstPageNumber="1" r:id="rId1"/>
  <headerFooter>
    <oddFooter xml:space="preserve">&amp;L&amp;T &amp;D&amp;Cверсия 210324&amp;R&amp;P из 12
</oddFooter>
  </headerFooter>
  <rowBreaks count="1" manualBreakCount="1">
    <brk id="41" max="12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>
    <tabColor rgb="FFFF0000"/>
  </sheetPr>
  <dimension ref="A1:M53"/>
  <sheetViews>
    <sheetView topLeftCell="B1" workbookViewId="0">
      <pane ySplit="13" topLeftCell="A14" activePane="bottomLeft" state="frozen"/>
      <selection pane="bottomLeft" activeCell="K23" sqref="K23"/>
    </sheetView>
  </sheetViews>
  <sheetFormatPr defaultRowHeight="14.4" x14ac:dyDescent="0.3"/>
  <cols>
    <col min="1" max="1" width="16.33203125" bestFit="1" customWidth="1"/>
    <col min="2" max="2" width="18.5546875" style="1" bestFit="1" customWidth="1"/>
    <col min="3" max="3" width="13.6640625" style="1" bestFit="1" customWidth="1"/>
    <col min="4" max="4" width="16.109375" bestFit="1" customWidth="1"/>
    <col min="5" max="5" width="13" customWidth="1"/>
    <col min="6" max="6" width="23.109375" style="1" customWidth="1"/>
    <col min="7" max="7" width="16.88671875" style="1" bestFit="1" customWidth="1"/>
    <col min="8" max="8" width="20.6640625" style="1" customWidth="1"/>
    <col min="9" max="9" width="13.5546875" style="1" customWidth="1"/>
    <col min="10" max="10" width="11" style="1" bestFit="1" customWidth="1"/>
    <col min="11" max="11" width="9.109375" style="1"/>
    <col min="12" max="12" width="4.5546875" style="1" customWidth="1"/>
  </cols>
  <sheetData>
    <row r="1" spans="1:13" x14ac:dyDescent="0.3">
      <c r="C1" s="1" t="s">
        <v>125</v>
      </c>
      <c r="D1" s="1" t="s">
        <v>126</v>
      </c>
    </row>
    <row r="2" spans="1:13" x14ac:dyDescent="0.3">
      <c r="A2" s="35" t="s">
        <v>142</v>
      </c>
      <c r="B2" s="36" t="s">
        <v>189</v>
      </c>
      <c r="C2" s="36" t="s">
        <v>129</v>
      </c>
      <c r="D2" s="35" t="s">
        <v>3</v>
      </c>
      <c r="E2" s="35" t="s">
        <v>129</v>
      </c>
      <c r="F2" s="36" t="s">
        <v>232</v>
      </c>
      <c r="G2" s="36" t="s">
        <v>233</v>
      </c>
      <c r="H2" s="53" t="s">
        <v>570</v>
      </c>
      <c r="I2" s="53" t="s">
        <v>571</v>
      </c>
      <c r="J2" s="34"/>
    </row>
    <row r="3" spans="1:13" x14ac:dyDescent="0.3">
      <c r="A3" t="s">
        <v>139</v>
      </c>
      <c r="B3" s="1" t="s">
        <v>190</v>
      </c>
      <c r="C3" s="1" t="s">
        <v>128</v>
      </c>
      <c r="D3" s="32">
        <v>22320046</v>
      </c>
      <c r="E3" s="1" t="s">
        <v>272</v>
      </c>
      <c r="F3" s="1" t="s">
        <v>576</v>
      </c>
      <c r="G3" s="1" t="s">
        <v>573</v>
      </c>
      <c r="H3" s="52" t="s">
        <v>153</v>
      </c>
      <c r="I3" s="52" t="s">
        <v>154</v>
      </c>
    </row>
    <row r="4" spans="1:13" x14ac:dyDescent="0.3">
      <c r="A4" t="s">
        <v>140</v>
      </c>
      <c r="B4" s="1" t="s">
        <v>191</v>
      </c>
      <c r="C4" s="1" t="s">
        <v>128</v>
      </c>
      <c r="D4" s="32">
        <v>22320046</v>
      </c>
      <c r="E4" s="1" t="s">
        <v>272</v>
      </c>
      <c r="F4" s="1" t="s">
        <v>576</v>
      </c>
      <c r="G4" s="1" t="s">
        <v>573</v>
      </c>
      <c r="H4" s="52" t="s">
        <v>153</v>
      </c>
      <c r="I4" s="52" t="s">
        <v>154</v>
      </c>
    </row>
    <row r="5" spans="1:13" x14ac:dyDescent="0.3">
      <c r="A5" t="s">
        <v>141</v>
      </c>
      <c r="B5" s="1" t="s">
        <v>192</v>
      </c>
      <c r="C5" s="1" t="s">
        <v>128</v>
      </c>
      <c r="D5" s="32">
        <v>22320046</v>
      </c>
      <c r="E5" s="1" t="s">
        <v>272</v>
      </c>
      <c r="F5" s="1" t="s">
        <v>576</v>
      </c>
      <c r="G5" s="1" t="s">
        <v>573</v>
      </c>
      <c r="H5" s="52" t="s">
        <v>153</v>
      </c>
      <c r="I5" s="52" t="s">
        <v>154</v>
      </c>
    </row>
    <row r="6" spans="1:13" x14ac:dyDescent="0.3">
      <c r="A6" t="s">
        <v>137</v>
      </c>
      <c r="B6" s="1" t="s">
        <v>199</v>
      </c>
      <c r="C6" s="1" t="s">
        <v>230</v>
      </c>
      <c r="D6" s="32" t="s">
        <v>655</v>
      </c>
      <c r="E6" s="1" t="s">
        <v>229</v>
      </c>
      <c r="F6" s="1" t="s">
        <v>231</v>
      </c>
      <c r="G6" s="1" t="s">
        <v>574</v>
      </c>
      <c r="H6" s="52" t="s">
        <v>572</v>
      </c>
      <c r="I6" s="52" t="s">
        <v>810</v>
      </c>
    </row>
    <row r="7" spans="1:13" x14ac:dyDescent="0.3">
      <c r="A7" t="s">
        <v>136</v>
      </c>
      <c r="B7" s="1" t="s">
        <v>192</v>
      </c>
      <c r="C7" s="1" t="s">
        <v>216</v>
      </c>
      <c r="D7" s="32" t="s">
        <v>654</v>
      </c>
      <c r="E7" s="1" t="s">
        <v>215</v>
      </c>
      <c r="F7" s="1" t="s">
        <v>155</v>
      </c>
      <c r="G7" s="1" t="s">
        <v>575</v>
      </c>
      <c r="H7" s="52" t="s">
        <v>153</v>
      </c>
      <c r="I7" s="52" t="s">
        <v>202</v>
      </c>
    </row>
    <row r="8" spans="1:13" x14ac:dyDescent="0.3">
      <c r="A8" t="s">
        <v>134</v>
      </c>
      <c r="B8" s="1" t="s">
        <v>196</v>
      </c>
      <c r="C8" s="1" t="s">
        <v>216</v>
      </c>
      <c r="D8" s="32" t="s">
        <v>654</v>
      </c>
      <c r="E8" s="1" t="s">
        <v>215</v>
      </c>
      <c r="F8" s="1" t="s">
        <v>155</v>
      </c>
      <c r="G8" s="1" t="s">
        <v>575</v>
      </c>
      <c r="H8" s="52" t="s">
        <v>153</v>
      </c>
      <c r="I8" s="52" t="s">
        <v>202</v>
      </c>
    </row>
    <row r="9" spans="1:13" x14ac:dyDescent="0.3">
      <c r="A9" t="s">
        <v>135</v>
      </c>
      <c r="B9" s="1" t="s">
        <v>196</v>
      </c>
      <c r="C9" s="1" t="s">
        <v>216</v>
      </c>
      <c r="D9" s="32" t="s">
        <v>654</v>
      </c>
      <c r="E9" s="1" t="s">
        <v>215</v>
      </c>
      <c r="F9" s="1" t="s">
        <v>155</v>
      </c>
      <c r="G9" s="1" t="s">
        <v>575</v>
      </c>
      <c r="H9" s="52" t="s">
        <v>153</v>
      </c>
      <c r="I9" s="52" t="s">
        <v>202</v>
      </c>
    </row>
    <row r="10" spans="1:13" x14ac:dyDescent="0.3">
      <c r="A10" t="s">
        <v>138</v>
      </c>
      <c r="B10" s="1" t="s">
        <v>198</v>
      </c>
      <c r="C10" s="1" t="s">
        <v>130</v>
      </c>
      <c r="D10" s="32">
        <v>22320044</v>
      </c>
      <c r="E10" s="1" t="s">
        <v>779</v>
      </c>
      <c r="F10" s="1" t="s">
        <v>780</v>
      </c>
      <c r="G10" s="1" t="s">
        <v>781</v>
      </c>
      <c r="H10" s="52" t="s">
        <v>851</v>
      </c>
      <c r="I10" s="52" t="s">
        <v>836</v>
      </c>
    </row>
    <row r="11" spans="1:13" x14ac:dyDescent="0.3">
      <c r="A11" t="s">
        <v>203</v>
      </c>
      <c r="B11" s="1" t="s">
        <v>196</v>
      </c>
      <c r="C11" s="1" t="s">
        <v>216</v>
      </c>
      <c r="D11" s="32" t="s">
        <v>654</v>
      </c>
      <c r="E11" s="1" t="s">
        <v>215</v>
      </c>
      <c r="F11" s="1" t="s">
        <v>155</v>
      </c>
      <c r="G11" s="1" t="s">
        <v>575</v>
      </c>
      <c r="H11" s="52" t="s">
        <v>153</v>
      </c>
      <c r="I11" s="52" t="s">
        <v>202</v>
      </c>
    </row>
    <row r="12" spans="1:13" x14ac:dyDescent="0.3">
      <c r="A12" t="s">
        <v>204</v>
      </c>
      <c r="B12" s="1" t="s">
        <v>197</v>
      </c>
      <c r="C12" s="1" t="s">
        <v>130</v>
      </c>
      <c r="D12" s="32">
        <v>22320044</v>
      </c>
      <c r="E12" s="1" t="s">
        <v>779</v>
      </c>
      <c r="F12" s="1" t="s">
        <v>780</v>
      </c>
      <c r="G12" s="1" t="s">
        <v>781</v>
      </c>
      <c r="H12" s="52" t="s">
        <v>851</v>
      </c>
      <c r="I12" s="52" t="s">
        <v>836</v>
      </c>
    </row>
    <row r="13" spans="1:13" x14ac:dyDescent="0.3">
      <c r="A13" s="35" t="s">
        <v>133</v>
      </c>
      <c r="B13" s="35" t="s">
        <v>3</v>
      </c>
      <c r="C13" s="36" t="s">
        <v>5</v>
      </c>
      <c r="D13" s="36" t="s">
        <v>6</v>
      </c>
      <c r="E13" s="36" t="s">
        <v>13</v>
      </c>
      <c r="F13" s="36" t="s">
        <v>14</v>
      </c>
      <c r="G13" s="36" t="s">
        <v>127</v>
      </c>
      <c r="H13" s="36" t="s">
        <v>86</v>
      </c>
      <c r="I13" s="36" t="s">
        <v>124</v>
      </c>
      <c r="J13" s="35" t="s">
        <v>149</v>
      </c>
      <c r="K13" s="35" t="s">
        <v>150</v>
      </c>
      <c r="L13" s="35" t="s">
        <v>149</v>
      </c>
      <c r="M13" s="35" t="s">
        <v>152</v>
      </c>
    </row>
    <row r="14" spans="1:13" x14ac:dyDescent="0.3">
      <c r="A14" t="s">
        <v>204</v>
      </c>
      <c r="B14">
        <v>22320477</v>
      </c>
      <c r="C14" s="38">
        <v>5239009749</v>
      </c>
      <c r="D14" s="1">
        <v>523901001</v>
      </c>
      <c r="E14" s="1" t="s">
        <v>744</v>
      </c>
      <c r="F14" s="1" t="s">
        <v>804</v>
      </c>
      <c r="G14" s="1" t="s">
        <v>238</v>
      </c>
      <c r="H14" s="1" t="s">
        <v>88</v>
      </c>
      <c r="I14" s="1" t="s">
        <v>126</v>
      </c>
      <c r="J14" t="s">
        <v>155</v>
      </c>
      <c r="K14" t="s">
        <v>777</v>
      </c>
      <c r="L14" t="s">
        <v>153</v>
      </c>
      <c r="M14" t="s">
        <v>776</v>
      </c>
    </row>
    <row r="15" spans="1:13" x14ac:dyDescent="0.3">
      <c r="A15" t="s">
        <v>139</v>
      </c>
      <c r="B15">
        <v>22320165</v>
      </c>
      <c r="C15" s="38">
        <v>5239006473</v>
      </c>
      <c r="D15" s="1">
        <v>523901001</v>
      </c>
      <c r="E15" s="1" t="s">
        <v>15</v>
      </c>
      <c r="F15" s="1" t="s">
        <v>16</v>
      </c>
      <c r="G15" s="1">
        <v>47055014</v>
      </c>
      <c r="H15" s="1" t="s">
        <v>89</v>
      </c>
      <c r="I15" s="1" t="s">
        <v>125</v>
      </c>
      <c r="J15" t="s">
        <v>151</v>
      </c>
      <c r="K15" t="s">
        <v>156</v>
      </c>
      <c r="L15" t="s">
        <v>153</v>
      </c>
      <c r="M15" t="s">
        <v>154</v>
      </c>
    </row>
    <row r="16" spans="1:13" x14ac:dyDescent="0.3">
      <c r="A16" t="s">
        <v>139</v>
      </c>
      <c r="B16">
        <v>22320178</v>
      </c>
      <c r="C16" s="38">
        <v>5239005504</v>
      </c>
      <c r="D16" s="1">
        <v>523901001</v>
      </c>
      <c r="E16" s="1" t="s">
        <v>746</v>
      </c>
      <c r="F16" s="1" t="s">
        <v>811</v>
      </c>
      <c r="G16" s="1" t="s">
        <v>239</v>
      </c>
      <c r="H16" s="1" t="s">
        <v>90</v>
      </c>
      <c r="I16" s="1" t="s">
        <v>125</v>
      </c>
      <c r="J16" t="s">
        <v>151</v>
      </c>
      <c r="K16" t="s">
        <v>778</v>
      </c>
      <c r="L16" t="s">
        <v>153</v>
      </c>
      <c r="M16" t="s">
        <v>154</v>
      </c>
    </row>
    <row r="17" spans="1:13" x14ac:dyDescent="0.3">
      <c r="A17" t="s">
        <v>140</v>
      </c>
      <c r="B17">
        <v>22320619</v>
      </c>
      <c r="C17" s="38">
        <v>5239006650</v>
      </c>
      <c r="D17" s="1">
        <v>523901001</v>
      </c>
      <c r="E17" s="1" t="s">
        <v>17</v>
      </c>
      <c r="F17" s="1" t="s">
        <v>18</v>
      </c>
      <c r="G17" s="1" t="s">
        <v>240</v>
      </c>
      <c r="H17" s="1" t="s">
        <v>91</v>
      </c>
      <c r="I17" s="1" t="s">
        <v>126</v>
      </c>
      <c r="J17" t="s">
        <v>155</v>
      </c>
      <c r="K17" t="s">
        <v>159</v>
      </c>
      <c r="L17" t="s">
        <v>153</v>
      </c>
      <c r="M17" t="s">
        <v>160</v>
      </c>
    </row>
    <row r="18" spans="1:13" x14ac:dyDescent="0.3">
      <c r="A18" t="s">
        <v>137</v>
      </c>
      <c r="B18">
        <v>22320304</v>
      </c>
      <c r="C18" s="38">
        <v>5239010920</v>
      </c>
      <c r="D18" s="1">
        <v>523901001</v>
      </c>
      <c r="E18" s="1" t="s">
        <v>19</v>
      </c>
      <c r="F18" s="1" t="s">
        <v>20</v>
      </c>
      <c r="G18" s="1">
        <v>25615435</v>
      </c>
      <c r="H18" s="1" t="s">
        <v>92</v>
      </c>
      <c r="I18" s="1" t="s">
        <v>125</v>
      </c>
      <c r="J18" t="s">
        <v>155</v>
      </c>
      <c r="K18" t="s">
        <v>161</v>
      </c>
      <c r="L18" t="s">
        <v>153</v>
      </c>
      <c r="M18" t="s">
        <v>225</v>
      </c>
    </row>
    <row r="19" spans="1:13" x14ac:dyDescent="0.3">
      <c r="A19" t="s">
        <v>140</v>
      </c>
      <c r="B19" s="32" t="s">
        <v>186</v>
      </c>
      <c r="C19" s="38">
        <v>5239011434</v>
      </c>
      <c r="D19" s="1">
        <v>523901001</v>
      </c>
      <c r="E19" s="1" t="s">
        <v>21</v>
      </c>
      <c r="F19" s="1" t="s">
        <v>22</v>
      </c>
      <c r="G19" s="1">
        <v>47054003</v>
      </c>
      <c r="H19" s="1" t="s">
        <v>93</v>
      </c>
      <c r="I19" s="1" t="s">
        <v>125</v>
      </c>
      <c r="J19" t="s">
        <v>155</v>
      </c>
      <c r="K19" t="s">
        <v>276</v>
      </c>
      <c r="L19" t="s">
        <v>153</v>
      </c>
      <c r="M19" t="s">
        <v>154</v>
      </c>
    </row>
    <row r="20" spans="1:13" x14ac:dyDescent="0.3">
      <c r="A20" t="s">
        <v>136</v>
      </c>
      <c r="B20" s="32" t="s">
        <v>224</v>
      </c>
      <c r="C20" s="38">
        <v>5239006770</v>
      </c>
      <c r="D20" s="1">
        <v>523901001</v>
      </c>
      <c r="E20" s="1" t="s">
        <v>23</v>
      </c>
      <c r="F20" s="1" t="s">
        <v>24</v>
      </c>
      <c r="G20" s="1" t="s">
        <v>241</v>
      </c>
      <c r="H20" s="1" t="s">
        <v>94</v>
      </c>
      <c r="I20" s="1" t="s">
        <v>126</v>
      </c>
      <c r="J20" t="s">
        <v>155</v>
      </c>
      <c r="K20" t="s">
        <v>162</v>
      </c>
      <c r="L20" t="s">
        <v>153</v>
      </c>
      <c r="M20" t="s">
        <v>163</v>
      </c>
    </row>
    <row r="21" spans="1:13" x14ac:dyDescent="0.3">
      <c r="A21" t="s">
        <v>139</v>
      </c>
      <c r="B21">
        <v>22320159</v>
      </c>
      <c r="C21" s="38">
        <v>5239006593</v>
      </c>
      <c r="D21" s="1">
        <v>523901001</v>
      </c>
      <c r="E21" s="1" t="s">
        <v>25</v>
      </c>
      <c r="F21" s="1" t="s">
        <v>26</v>
      </c>
      <c r="G21" s="1" t="s">
        <v>242</v>
      </c>
      <c r="H21" s="1" t="s">
        <v>95</v>
      </c>
      <c r="I21" s="1" t="s">
        <v>125</v>
      </c>
      <c r="J21" t="s">
        <v>151</v>
      </c>
      <c r="K21" t="s">
        <v>214</v>
      </c>
      <c r="L21" t="s">
        <v>153</v>
      </c>
      <c r="M21" t="s">
        <v>154</v>
      </c>
    </row>
    <row r="22" spans="1:13" x14ac:dyDescent="0.3">
      <c r="A22" t="s">
        <v>139</v>
      </c>
      <c r="B22">
        <v>22320220</v>
      </c>
      <c r="C22" s="38">
        <v>5239006586</v>
      </c>
      <c r="D22" s="1">
        <v>523901001</v>
      </c>
      <c r="E22" s="1" t="s">
        <v>27</v>
      </c>
      <c r="F22" s="1" t="s">
        <v>28</v>
      </c>
      <c r="G22" s="1" t="s">
        <v>243</v>
      </c>
      <c r="H22" s="1" t="s">
        <v>96</v>
      </c>
      <c r="I22" s="1" t="s">
        <v>125</v>
      </c>
      <c r="J22" t="s">
        <v>581</v>
      </c>
      <c r="K22" t="s">
        <v>854</v>
      </c>
      <c r="L22" t="s">
        <v>153</v>
      </c>
      <c r="M22" t="s">
        <v>154</v>
      </c>
    </row>
    <row r="23" spans="1:13" x14ac:dyDescent="0.3">
      <c r="A23" t="s">
        <v>139</v>
      </c>
      <c r="B23">
        <v>22320211</v>
      </c>
      <c r="C23" s="38">
        <v>5239006603</v>
      </c>
      <c r="D23" s="1">
        <v>523901001</v>
      </c>
      <c r="E23" s="1" t="s">
        <v>29</v>
      </c>
      <c r="F23" s="1" t="s">
        <v>30</v>
      </c>
      <c r="G23" s="1" t="s">
        <v>244</v>
      </c>
      <c r="H23" s="1" t="s">
        <v>97</v>
      </c>
      <c r="I23" s="1" t="s">
        <v>125</v>
      </c>
      <c r="J23" t="s">
        <v>151</v>
      </c>
      <c r="K23" t="s">
        <v>157</v>
      </c>
      <c r="L23" t="s">
        <v>153</v>
      </c>
      <c r="M23" t="s">
        <v>164</v>
      </c>
    </row>
    <row r="24" spans="1:13" x14ac:dyDescent="0.3">
      <c r="A24" t="s">
        <v>139</v>
      </c>
      <c r="B24">
        <v>22320162</v>
      </c>
      <c r="C24" s="38">
        <v>5239005430</v>
      </c>
      <c r="D24" s="1">
        <v>523901001</v>
      </c>
      <c r="E24" s="1" t="s">
        <v>31</v>
      </c>
      <c r="F24" s="1" t="s">
        <v>32</v>
      </c>
      <c r="G24" s="1" t="s">
        <v>245</v>
      </c>
      <c r="H24" s="1" t="s">
        <v>98</v>
      </c>
      <c r="I24" s="1" t="s">
        <v>125</v>
      </c>
      <c r="J24" t="s">
        <v>151</v>
      </c>
      <c r="K24" t="s">
        <v>213</v>
      </c>
      <c r="L24" t="s">
        <v>153</v>
      </c>
      <c r="M24" t="s">
        <v>154</v>
      </c>
    </row>
    <row r="25" spans="1:13" x14ac:dyDescent="0.3">
      <c r="A25" t="s">
        <v>139</v>
      </c>
      <c r="B25">
        <v>22320163</v>
      </c>
      <c r="C25" s="38">
        <v>5239005462</v>
      </c>
      <c r="D25" s="1">
        <v>523901001</v>
      </c>
      <c r="E25" s="1" t="s">
        <v>33</v>
      </c>
      <c r="F25" s="1" t="s">
        <v>34</v>
      </c>
      <c r="G25" s="1" t="s">
        <v>246</v>
      </c>
      <c r="H25" s="1" t="s">
        <v>99</v>
      </c>
      <c r="I25" s="1" t="s">
        <v>125</v>
      </c>
      <c r="J25" t="s">
        <v>151</v>
      </c>
      <c r="K25" t="s">
        <v>165</v>
      </c>
      <c r="L25" t="s">
        <v>153</v>
      </c>
      <c r="M25" t="s">
        <v>154</v>
      </c>
    </row>
    <row r="26" spans="1:13" x14ac:dyDescent="0.3">
      <c r="A26" t="s">
        <v>139</v>
      </c>
      <c r="B26">
        <v>22320155</v>
      </c>
      <c r="C26" s="38">
        <v>5239006184</v>
      </c>
      <c r="D26" s="1">
        <v>523901001</v>
      </c>
      <c r="E26" s="1" t="s">
        <v>35</v>
      </c>
      <c r="F26" s="1" t="s">
        <v>36</v>
      </c>
      <c r="G26" s="1" t="s">
        <v>247</v>
      </c>
      <c r="H26" s="1" t="s">
        <v>100</v>
      </c>
      <c r="I26" s="1" t="s">
        <v>125</v>
      </c>
      <c r="J26" t="s">
        <v>151</v>
      </c>
      <c r="K26" t="s">
        <v>275</v>
      </c>
      <c r="L26" t="s">
        <v>153</v>
      </c>
      <c r="M26" t="s">
        <v>154</v>
      </c>
    </row>
    <row r="27" spans="1:13" x14ac:dyDescent="0.3">
      <c r="A27" t="s">
        <v>139</v>
      </c>
      <c r="B27">
        <v>22320146</v>
      </c>
      <c r="C27" s="38">
        <v>5239006956</v>
      </c>
      <c r="D27" s="1">
        <v>523901001</v>
      </c>
      <c r="E27" s="1" t="s">
        <v>37</v>
      </c>
      <c r="F27" s="1" t="s">
        <v>38</v>
      </c>
      <c r="G27" s="1" t="s">
        <v>248</v>
      </c>
      <c r="H27" s="1" t="s">
        <v>101</v>
      </c>
      <c r="I27" s="1" t="s">
        <v>125</v>
      </c>
      <c r="J27" t="s">
        <v>151</v>
      </c>
      <c r="K27" t="s">
        <v>166</v>
      </c>
      <c r="L27" t="s">
        <v>153</v>
      </c>
      <c r="M27" t="s">
        <v>158</v>
      </c>
    </row>
    <row r="28" spans="1:13" x14ac:dyDescent="0.3">
      <c r="A28" t="s">
        <v>139</v>
      </c>
      <c r="B28">
        <v>22320169</v>
      </c>
      <c r="C28" s="38">
        <v>5239006392</v>
      </c>
      <c r="D28" s="1">
        <v>523901001</v>
      </c>
      <c r="E28" s="1" t="s">
        <v>39</v>
      </c>
      <c r="F28" s="1" t="s">
        <v>40</v>
      </c>
      <c r="G28" s="1" t="s">
        <v>249</v>
      </c>
      <c r="H28" s="1" t="s">
        <v>102</v>
      </c>
      <c r="I28" s="1" t="s">
        <v>125</v>
      </c>
      <c r="J28" t="s">
        <v>151</v>
      </c>
      <c r="K28" t="s">
        <v>226</v>
      </c>
      <c r="L28" t="s">
        <v>153</v>
      </c>
      <c r="M28" t="s">
        <v>154</v>
      </c>
    </row>
    <row r="29" spans="1:13" x14ac:dyDescent="0.3">
      <c r="A29" t="s">
        <v>139</v>
      </c>
      <c r="B29">
        <v>22320156</v>
      </c>
      <c r="C29" s="38">
        <v>5239005494</v>
      </c>
      <c r="D29" s="1">
        <v>523901001</v>
      </c>
      <c r="E29" s="1" t="s">
        <v>41</v>
      </c>
      <c r="F29" s="1" t="s">
        <v>42</v>
      </c>
      <c r="G29" s="1" t="s">
        <v>250</v>
      </c>
      <c r="H29" s="1" t="s">
        <v>103</v>
      </c>
      <c r="I29" s="1" t="s">
        <v>125</v>
      </c>
      <c r="J29" t="s">
        <v>151</v>
      </c>
      <c r="K29" t="s">
        <v>167</v>
      </c>
      <c r="L29" t="s">
        <v>168</v>
      </c>
      <c r="M29" t="s">
        <v>154</v>
      </c>
    </row>
    <row r="30" spans="1:13" x14ac:dyDescent="0.3">
      <c r="A30" t="s">
        <v>139</v>
      </c>
      <c r="B30">
        <v>22320147</v>
      </c>
      <c r="C30" s="38">
        <v>5239005568</v>
      </c>
      <c r="D30" s="1">
        <v>523901001</v>
      </c>
      <c r="E30" s="1" t="s">
        <v>43</v>
      </c>
      <c r="F30" s="1" t="s">
        <v>44</v>
      </c>
      <c r="G30" s="1" t="s">
        <v>251</v>
      </c>
      <c r="H30" s="1" t="s">
        <v>104</v>
      </c>
      <c r="I30" s="1" t="s">
        <v>125</v>
      </c>
      <c r="J30" t="s">
        <v>151</v>
      </c>
      <c r="K30" t="s">
        <v>201</v>
      </c>
      <c r="L30" t="s">
        <v>153</v>
      </c>
      <c r="M30" t="s">
        <v>154</v>
      </c>
    </row>
    <row r="31" spans="1:13" x14ac:dyDescent="0.3">
      <c r="A31" t="s">
        <v>139</v>
      </c>
      <c r="B31">
        <v>22320157</v>
      </c>
      <c r="C31" s="38">
        <v>5239006385</v>
      </c>
      <c r="D31" s="1">
        <v>523901001</v>
      </c>
      <c r="E31" s="1" t="s">
        <v>45</v>
      </c>
      <c r="F31" s="1" t="s">
        <v>46</v>
      </c>
      <c r="G31" s="1" t="s">
        <v>252</v>
      </c>
      <c r="H31" s="1" t="s">
        <v>105</v>
      </c>
      <c r="I31" s="1" t="s">
        <v>125</v>
      </c>
      <c r="J31" t="s">
        <v>151</v>
      </c>
      <c r="K31" t="s">
        <v>169</v>
      </c>
      <c r="L31" t="s">
        <v>153</v>
      </c>
      <c r="M31" t="s">
        <v>154</v>
      </c>
    </row>
    <row r="32" spans="1:13" x14ac:dyDescent="0.3">
      <c r="A32" t="s">
        <v>139</v>
      </c>
      <c r="B32">
        <v>22320158</v>
      </c>
      <c r="C32" s="38">
        <v>5239005913</v>
      </c>
      <c r="D32" s="1">
        <v>523901001</v>
      </c>
      <c r="E32" s="1" t="s">
        <v>47</v>
      </c>
      <c r="F32" s="1" t="s">
        <v>48</v>
      </c>
      <c r="G32" s="1" t="s">
        <v>236</v>
      </c>
      <c r="H32" s="1" t="s">
        <v>106</v>
      </c>
      <c r="I32" s="1" t="s">
        <v>125</v>
      </c>
      <c r="J32" t="s">
        <v>151</v>
      </c>
      <c r="K32" t="s">
        <v>235</v>
      </c>
      <c r="L32" t="s">
        <v>153</v>
      </c>
      <c r="M32" t="s">
        <v>154</v>
      </c>
    </row>
    <row r="33" spans="1:13" x14ac:dyDescent="0.3">
      <c r="A33" t="s">
        <v>139</v>
      </c>
      <c r="B33">
        <v>22320693</v>
      </c>
      <c r="C33" s="38">
        <v>5239011191</v>
      </c>
      <c r="D33" s="1">
        <v>523901001</v>
      </c>
      <c r="E33" s="1" t="s">
        <v>49</v>
      </c>
      <c r="F33" s="1" t="s">
        <v>50</v>
      </c>
      <c r="G33" s="1" t="s">
        <v>237</v>
      </c>
      <c r="H33" s="1" t="s">
        <v>107</v>
      </c>
      <c r="I33" s="1" t="s">
        <v>126</v>
      </c>
      <c r="J33" t="s">
        <v>280</v>
      </c>
      <c r="K33" t="s">
        <v>281</v>
      </c>
      <c r="L33" t="s">
        <v>153</v>
      </c>
      <c r="M33" t="s">
        <v>154</v>
      </c>
    </row>
    <row r="34" spans="1:13" x14ac:dyDescent="0.3">
      <c r="A34" t="s">
        <v>140</v>
      </c>
      <c r="B34">
        <v>22320210</v>
      </c>
      <c r="C34" s="38">
        <v>5239005293</v>
      </c>
      <c r="D34" s="1">
        <v>523901001</v>
      </c>
      <c r="E34" s="1" t="s">
        <v>52</v>
      </c>
      <c r="F34" s="1" t="s">
        <v>53</v>
      </c>
      <c r="G34" s="1" t="s">
        <v>253</v>
      </c>
      <c r="H34" s="1" t="s">
        <v>109</v>
      </c>
      <c r="I34" s="1" t="s">
        <v>125</v>
      </c>
      <c r="J34" t="s">
        <v>155</v>
      </c>
      <c r="K34" t="s">
        <v>269</v>
      </c>
      <c r="L34" t="s">
        <v>153</v>
      </c>
      <c r="M34" t="s">
        <v>154</v>
      </c>
    </row>
    <row r="35" spans="1:13" x14ac:dyDescent="0.3">
      <c r="A35" t="s">
        <v>140</v>
      </c>
      <c r="B35">
        <v>22320216</v>
      </c>
      <c r="C35" s="38">
        <v>5239006434</v>
      </c>
      <c r="D35" s="1">
        <v>523901001</v>
      </c>
      <c r="E35" s="1" t="s">
        <v>54</v>
      </c>
      <c r="F35" s="1" t="s">
        <v>55</v>
      </c>
      <c r="G35" s="1" t="s">
        <v>234</v>
      </c>
      <c r="H35" s="1" t="s">
        <v>110</v>
      </c>
      <c r="I35" s="1" t="s">
        <v>125</v>
      </c>
      <c r="J35" t="s">
        <v>155</v>
      </c>
      <c r="K35" t="s">
        <v>279</v>
      </c>
      <c r="L35" t="s">
        <v>153</v>
      </c>
      <c r="M35" t="s">
        <v>154</v>
      </c>
    </row>
    <row r="36" spans="1:13" x14ac:dyDescent="0.3">
      <c r="A36" t="s">
        <v>141</v>
      </c>
      <c r="B36">
        <v>22320197</v>
      </c>
      <c r="C36" s="38">
        <v>5239005455</v>
      </c>
      <c r="D36" s="1">
        <v>523901001</v>
      </c>
      <c r="E36" s="1" t="s">
        <v>56</v>
      </c>
      <c r="F36" s="1" t="s">
        <v>57</v>
      </c>
      <c r="G36" s="1" t="s">
        <v>254</v>
      </c>
      <c r="H36" s="1" t="s">
        <v>108</v>
      </c>
      <c r="I36" s="1" t="s">
        <v>125</v>
      </c>
      <c r="J36" t="s">
        <v>155</v>
      </c>
      <c r="K36" t="s">
        <v>172</v>
      </c>
      <c r="L36" t="s">
        <v>153</v>
      </c>
      <c r="M36" t="s">
        <v>154</v>
      </c>
    </row>
    <row r="37" spans="1:13" x14ac:dyDescent="0.3">
      <c r="A37" t="s">
        <v>140</v>
      </c>
      <c r="B37">
        <v>22320161</v>
      </c>
      <c r="C37" s="38">
        <v>5239005744</v>
      </c>
      <c r="D37" s="1">
        <v>523901001</v>
      </c>
      <c r="E37" s="1" t="s">
        <v>58</v>
      </c>
      <c r="F37" s="1" t="s">
        <v>59</v>
      </c>
      <c r="G37" s="1" t="s">
        <v>255</v>
      </c>
      <c r="H37" s="1" t="s">
        <v>111</v>
      </c>
      <c r="I37" s="1" t="s">
        <v>125</v>
      </c>
      <c r="J37" t="s">
        <v>212</v>
      </c>
      <c r="K37" t="s">
        <v>173</v>
      </c>
      <c r="L37" t="s">
        <v>153</v>
      </c>
      <c r="M37" t="s">
        <v>174</v>
      </c>
    </row>
    <row r="38" spans="1:13" x14ac:dyDescent="0.3">
      <c r="A38" t="s">
        <v>140</v>
      </c>
      <c r="B38">
        <v>22320150</v>
      </c>
      <c r="C38" s="38">
        <v>5239006498</v>
      </c>
      <c r="D38" s="1">
        <v>523901001</v>
      </c>
      <c r="E38" s="1" t="s">
        <v>60</v>
      </c>
      <c r="F38" s="1" t="s">
        <v>61</v>
      </c>
      <c r="G38" s="1" t="s">
        <v>242</v>
      </c>
      <c r="H38" s="1" t="s">
        <v>112</v>
      </c>
      <c r="I38" s="1" t="s">
        <v>125</v>
      </c>
      <c r="J38" t="s">
        <v>155</v>
      </c>
      <c r="K38" t="s">
        <v>277</v>
      </c>
      <c r="L38" t="s">
        <v>153</v>
      </c>
      <c r="M38" t="s">
        <v>154</v>
      </c>
    </row>
    <row r="39" spans="1:13" x14ac:dyDescent="0.3">
      <c r="A39" t="s">
        <v>140</v>
      </c>
      <c r="B39">
        <v>22320149</v>
      </c>
      <c r="C39" s="38">
        <v>5239005367</v>
      </c>
      <c r="D39" s="1">
        <v>523901001</v>
      </c>
      <c r="E39" s="1" t="s">
        <v>62</v>
      </c>
      <c r="F39" s="1" t="s">
        <v>63</v>
      </c>
      <c r="G39" s="1" t="s">
        <v>256</v>
      </c>
      <c r="H39" s="1" t="s">
        <v>87</v>
      </c>
      <c r="I39" s="1" t="s">
        <v>125</v>
      </c>
      <c r="J39" t="s">
        <v>155</v>
      </c>
      <c r="K39" t="s">
        <v>273</v>
      </c>
      <c r="L39" t="s">
        <v>153</v>
      </c>
      <c r="M39" t="s">
        <v>175</v>
      </c>
    </row>
    <row r="40" spans="1:13" x14ac:dyDescent="0.3">
      <c r="A40" t="s">
        <v>140</v>
      </c>
      <c r="B40">
        <v>22320144</v>
      </c>
      <c r="C40" s="38">
        <v>5239006561</v>
      </c>
      <c r="D40" s="1">
        <v>523901001</v>
      </c>
      <c r="E40" s="1" t="s">
        <v>64</v>
      </c>
      <c r="F40" s="1" t="s">
        <v>65</v>
      </c>
      <c r="G40" s="1" t="s">
        <v>257</v>
      </c>
      <c r="H40" s="1" t="s">
        <v>113</v>
      </c>
      <c r="I40" s="1" t="s">
        <v>125</v>
      </c>
      <c r="J40" t="s">
        <v>155</v>
      </c>
      <c r="K40" t="s">
        <v>176</v>
      </c>
      <c r="L40" t="s">
        <v>153</v>
      </c>
      <c r="M40" t="s">
        <v>177</v>
      </c>
    </row>
    <row r="41" spans="1:13" x14ac:dyDescent="0.3">
      <c r="A41" t="s">
        <v>140</v>
      </c>
      <c r="B41">
        <v>22320171</v>
      </c>
      <c r="C41" s="38">
        <v>5239005381</v>
      </c>
      <c r="D41" s="1">
        <v>523901001</v>
      </c>
      <c r="E41" s="1" t="s">
        <v>66</v>
      </c>
      <c r="F41" s="1" t="s">
        <v>67</v>
      </c>
      <c r="G41" s="1">
        <v>39234851</v>
      </c>
      <c r="H41" s="1" t="s">
        <v>114</v>
      </c>
      <c r="I41" s="1" t="s">
        <v>125</v>
      </c>
      <c r="J41" t="s">
        <v>155</v>
      </c>
      <c r="K41" t="s">
        <v>178</v>
      </c>
      <c r="L41" t="s">
        <v>153</v>
      </c>
      <c r="M41" t="s">
        <v>154</v>
      </c>
    </row>
    <row r="42" spans="1:13" x14ac:dyDescent="0.3">
      <c r="A42" t="s">
        <v>140</v>
      </c>
      <c r="B42">
        <v>22320166</v>
      </c>
      <c r="C42" s="38">
        <v>5239005007</v>
      </c>
      <c r="D42" s="1">
        <v>523901001</v>
      </c>
      <c r="E42" s="1" t="s">
        <v>68</v>
      </c>
      <c r="F42" s="1" t="s">
        <v>69</v>
      </c>
      <c r="G42" s="1" t="s">
        <v>258</v>
      </c>
      <c r="H42" s="1" t="s">
        <v>115</v>
      </c>
      <c r="I42" s="1" t="s">
        <v>125</v>
      </c>
      <c r="J42" t="s">
        <v>155</v>
      </c>
      <c r="K42" t="s">
        <v>274</v>
      </c>
      <c r="L42" t="s">
        <v>153</v>
      </c>
      <c r="M42" t="s">
        <v>170</v>
      </c>
    </row>
    <row r="43" spans="1:13" x14ac:dyDescent="0.3">
      <c r="A43" t="s">
        <v>140</v>
      </c>
      <c r="B43">
        <v>22320167</v>
      </c>
      <c r="C43" s="38">
        <v>5239005374</v>
      </c>
      <c r="D43" s="1">
        <v>523901001</v>
      </c>
      <c r="E43" s="1" t="s">
        <v>70</v>
      </c>
      <c r="F43" s="1" t="s">
        <v>71</v>
      </c>
      <c r="G43" s="1" t="s">
        <v>260</v>
      </c>
      <c r="H43" s="1" t="s">
        <v>116</v>
      </c>
      <c r="I43" s="1" t="s">
        <v>125</v>
      </c>
      <c r="J43" t="s">
        <v>227</v>
      </c>
      <c r="K43" t="s">
        <v>278</v>
      </c>
      <c r="L43" t="s">
        <v>153</v>
      </c>
      <c r="M43" t="s">
        <v>758</v>
      </c>
    </row>
    <row r="44" spans="1:13" x14ac:dyDescent="0.3">
      <c r="A44" t="s">
        <v>138</v>
      </c>
      <c r="B44">
        <v>22320250</v>
      </c>
      <c r="C44" s="38">
        <v>5239001644</v>
      </c>
      <c r="D44" s="1">
        <v>523901001</v>
      </c>
      <c r="E44" s="1" t="s">
        <v>813</v>
      </c>
      <c r="F44" s="1" t="s">
        <v>812</v>
      </c>
      <c r="G44" s="1" t="s">
        <v>261</v>
      </c>
      <c r="H44" s="1" t="s">
        <v>117</v>
      </c>
      <c r="I44" s="1" t="s">
        <v>126</v>
      </c>
      <c r="J44" t="s">
        <v>818</v>
      </c>
      <c r="K44" t="s">
        <v>819</v>
      </c>
      <c r="L44" t="s">
        <v>153</v>
      </c>
      <c r="M44" t="s">
        <v>820</v>
      </c>
    </row>
    <row r="45" spans="1:13" x14ac:dyDescent="0.3">
      <c r="A45" t="s">
        <v>140</v>
      </c>
      <c r="B45">
        <v>22320215</v>
      </c>
      <c r="C45" s="38">
        <v>5239005543</v>
      </c>
      <c r="D45" s="1">
        <v>523901001</v>
      </c>
      <c r="E45" s="1" t="s">
        <v>72</v>
      </c>
      <c r="F45" s="1" t="s">
        <v>73</v>
      </c>
      <c r="G45" s="1" t="s">
        <v>262</v>
      </c>
      <c r="H45" s="1" t="s">
        <v>118</v>
      </c>
      <c r="I45" s="1" t="s">
        <v>125</v>
      </c>
      <c r="J45" t="s">
        <v>155</v>
      </c>
      <c r="K45" t="s">
        <v>228</v>
      </c>
      <c r="L45" t="s">
        <v>153</v>
      </c>
      <c r="M45" t="s">
        <v>179</v>
      </c>
    </row>
    <row r="46" spans="1:13" x14ac:dyDescent="0.3">
      <c r="A46" t="s">
        <v>203</v>
      </c>
      <c r="B46" s="32" t="s">
        <v>221</v>
      </c>
      <c r="C46" s="38">
        <v>5239006811</v>
      </c>
      <c r="D46" s="1">
        <v>523901001</v>
      </c>
      <c r="E46" s="1" t="s">
        <v>74</v>
      </c>
      <c r="F46" s="1" t="s">
        <v>75</v>
      </c>
      <c r="G46" s="1" t="s">
        <v>263</v>
      </c>
      <c r="H46" s="1" t="s">
        <v>108</v>
      </c>
      <c r="I46" s="1" t="s">
        <v>125</v>
      </c>
      <c r="J46" t="s">
        <v>155</v>
      </c>
      <c r="K46" t="s">
        <v>180</v>
      </c>
      <c r="L46" t="s">
        <v>153</v>
      </c>
      <c r="M46" t="s">
        <v>202</v>
      </c>
    </row>
    <row r="47" spans="1:13" x14ac:dyDescent="0.3">
      <c r="A47" t="s">
        <v>135</v>
      </c>
      <c r="B47" s="32" t="s">
        <v>218</v>
      </c>
      <c r="C47" s="38">
        <v>5239006995</v>
      </c>
      <c r="D47" s="1">
        <v>523901001</v>
      </c>
      <c r="E47" s="1" t="s">
        <v>76</v>
      </c>
      <c r="F47" s="1" t="s">
        <v>77</v>
      </c>
      <c r="G47" s="1" t="s">
        <v>264</v>
      </c>
      <c r="H47" s="1" t="s">
        <v>583</v>
      </c>
      <c r="I47" s="1" t="s">
        <v>125</v>
      </c>
      <c r="J47" t="s">
        <v>155</v>
      </c>
      <c r="K47" t="s">
        <v>181</v>
      </c>
      <c r="L47" t="s">
        <v>153</v>
      </c>
      <c r="M47" t="s">
        <v>202</v>
      </c>
    </row>
    <row r="48" spans="1:13" x14ac:dyDescent="0.3">
      <c r="A48" t="s">
        <v>136</v>
      </c>
      <c r="B48" s="32" t="s">
        <v>219</v>
      </c>
      <c r="C48" s="38">
        <v>5239007011</v>
      </c>
      <c r="D48" s="1">
        <v>523901001</v>
      </c>
      <c r="E48" s="1" t="s">
        <v>78</v>
      </c>
      <c r="F48" s="1" t="s">
        <v>79</v>
      </c>
      <c r="G48" s="1" t="s">
        <v>265</v>
      </c>
      <c r="H48" s="1" t="s">
        <v>119</v>
      </c>
      <c r="I48" s="1" t="s">
        <v>125</v>
      </c>
      <c r="J48" t="s">
        <v>155</v>
      </c>
      <c r="K48" t="s">
        <v>182</v>
      </c>
      <c r="L48" t="s">
        <v>153</v>
      </c>
      <c r="M48" t="s">
        <v>163</v>
      </c>
    </row>
    <row r="49" spans="1:13" x14ac:dyDescent="0.3">
      <c r="A49" t="s">
        <v>136</v>
      </c>
      <c r="B49" s="32" t="s">
        <v>223</v>
      </c>
      <c r="C49" s="38">
        <v>5239006321</v>
      </c>
      <c r="D49" s="1">
        <v>523901001</v>
      </c>
      <c r="E49" s="1" t="s">
        <v>80</v>
      </c>
      <c r="F49" s="1" t="s">
        <v>81</v>
      </c>
      <c r="G49" s="1" t="s">
        <v>266</v>
      </c>
      <c r="H49" s="1" t="s">
        <v>120</v>
      </c>
      <c r="I49" s="1" t="s">
        <v>125</v>
      </c>
      <c r="J49" t="s">
        <v>155</v>
      </c>
      <c r="K49" t="s">
        <v>183</v>
      </c>
      <c r="L49" t="s">
        <v>153</v>
      </c>
      <c r="M49" t="s">
        <v>163</v>
      </c>
    </row>
    <row r="50" spans="1:13" x14ac:dyDescent="0.3">
      <c r="A50" t="s">
        <v>136</v>
      </c>
      <c r="B50" s="32" t="s">
        <v>217</v>
      </c>
      <c r="C50" s="38">
        <v>5239006723</v>
      </c>
      <c r="D50" s="1">
        <v>523901001</v>
      </c>
      <c r="E50" s="1" t="s">
        <v>82</v>
      </c>
      <c r="F50" s="1" t="s">
        <v>83</v>
      </c>
      <c r="G50" s="1" t="s">
        <v>267</v>
      </c>
      <c r="H50" s="1" t="s">
        <v>121</v>
      </c>
      <c r="I50" s="1" t="s">
        <v>125</v>
      </c>
      <c r="J50" t="s">
        <v>155</v>
      </c>
      <c r="K50" t="s">
        <v>184</v>
      </c>
      <c r="L50" t="s">
        <v>153</v>
      </c>
      <c r="M50" t="s">
        <v>163</v>
      </c>
    </row>
    <row r="51" spans="1:13" x14ac:dyDescent="0.3">
      <c r="A51" t="s">
        <v>136</v>
      </c>
      <c r="B51" s="32" t="s">
        <v>222</v>
      </c>
      <c r="C51" s="38">
        <v>5239006280</v>
      </c>
      <c r="D51" s="1">
        <v>523901001</v>
      </c>
      <c r="E51" s="1" t="s">
        <v>84</v>
      </c>
      <c r="F51" s="1" t="s">
        <v>85</v>
      </c>
      <c r="G51" s="1">
        <v>55087132</v>
      </c>
      <c r="H51" s="1" t="s">
        <v>122</v>
      </c>
      <c r="I51" s="1" t="s">
        <v>125</v>
      </c>
      <c r="J51" t="s">
        <v>155</v>
      </c>
      <c r="K51" t="s">
        <v>185</v>
      </c>
      <c r="L51" t="s">
        <v>168</v>
      </c>
      <c r="M51" t="s">
        <v>163</v>
      </c>
    </row>
    <row r="52" spans="1:13" x14ac:dyDescent="0.3">
      <c r="A52" t="s">
        <v>134</v>
      </c>
      <c r="B52" s="37" t="s">
        <v>220</v>
      </c>
      <c r="C52" s="38">
        <v>5239010906</v>
      </c>
      <c r="D52" s="1">
        <v>523901001</v>
      </c>
      <c r="E52" s="1" t="s">
        <v>270</v>
      </c>
      <c r="F52" s="1" t="s">
        <v>51</v>
      </c>
      <c r="G52" s="1" t="s">
        <v>259</v>
      </c>
      <c r="H52" s="1" t="s">
        <v>271</v>
      </c>
      <c r="I52" s="1" t="s">
        <v>125</v>
      </c>
      <c r="J52" s="34" t="s">
        <v>155</v>
      </c>
      <c r="K52" s="34" t="s">
        <v>171</v>
      </c>
      <c r="L52" s="34" t="s">
        <v>153</v>
      </c>
      <c r="M52" s="34" t="s">
        <v>202</v>
      </c>
    </row>
    <row r="53" spans="1:13" x14ac:dyDescent="0.3">
      <c r="A53" t="s">
        <v>204</v>
      </c>
      <c r="B53">
        <v>22320154</v>
      </c>
      <c r="C53" s="38">
        <v>5239006988</v>
      </c>
      <c r="D53" s="1">
        <v>523901001</v>
      </c>
      <c r="E53" s="1" t="s">
        <v>745</v>
      </c>
      <c r="F53" s="1" t="s">
        <v>814</v>
      </c>
      <c r="G53" s="1" t="s">
        <v>268</v>
      </c>
      <c r="H53" s="1" t="s">
        <v>123</v>
      </c>
      <c r="I53" s="1" t="s">
        <v>125</v>
      </c>
      <c r="J53" t="s">
        <v>155</v>
      </c>
      <c r="K53" t="s">
        <v>821</v>
      </c>
      <c r="L53" t="s">
        <v>153</v>
      </c>
      <c r="M53" t="s">
        <v>822</v>
      </c>
    </row>
  </sheetData>
  <sheetProtection password="E80F" sheet="1" objects="1" scenarios="1" formatCells="0" formatColumns="0" formatRows="0" insertColumns="0" insertRows="0" insertHyperlinks="0" deleteColumns="0" deleteRows="0" sort="0" autoFilter="0" pivotTables="0"/>
  <dataValidations count="2">
    <dataValidation type="list" allowBlank="1" showInputMessage="1" showErrorMessage="1" sqref="A14:A53">
      <formula1>$A$3:$A$12</formula1>
    </dataValidation>
    <dataValidation type="list" allowBlank="1" showInputMessage="1" showErrorMessage="1" sqref="I14:I53">
      <formula1>$C$1:$D$1</formula1>
    </dataValidation>
  </dataValidation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8">
    <tabColor rgb="FFFF0000"/>
  </sheetPr>
  <dimension ref="A1:L1005"/>
  <sheetViews>
    <sheetView zoomScaleNormal="100" workbookViewId="0">
      <pane xSplit="9" ySplit="3" topLeftCell="J862" activePane="bottomRight" state="frozen"/>
      <selection pane="topRight" activeCell="J1" sqref="J1"/>
      <selection pane="bottomLeft" activeCell="A4" sqref="A4"/>
      <selection pane="bottomRight" activeCell="E885" sqref="E885"/>
    </sheetView>
  </sheetViews>
  <sheetFormatPr defaultColWidth="9.109375" defaultRowHeight="14.4" x14ac:dyDescent="0.3"/>
  <cols>
    <col min="1" max="1" width="13.6640625" style="48" bestFit="1" customWidth="1"/>
    <col min="2" max="2" width="9.109375" style="48" customWidth="1"/>
    <col min="3" max="3" width="8.5546875" style="48" bestFit="1" customWidth="1"/>
    <col min="4" max="4" width="26" style="48" bestFit="1" customWidth="1"/>
    <col min="5" max="5" width="33.109375" style="99" bestFit="1" customWidth="1"/>
    <col min="6" max="6" width="6.6640625" style="100" bestFit="1" customWidth="1"/>
    <col min="7" max="7" width="17.44140625" style="100" customWidth="1"/>
    <col min="8" max="8" width="5.88671875" style="17" bestFit="1" customWidth="1"/>
    <col min="9" max="9" width="12.6640625" style="100" customWidth="1"/>
    <col min="10" max="16384" width="9.109375" style="48"/>
  </cols>
  <sheetData>
    <row r="1" spans="1:12" x14ac:dyDescent="0.3">
      <c r="A1" s="101"/>
      <c r="D1" s="107" t="s">
        <v>676</v>
      </c>
      <c r="E1" s="108" t="s">
        <v>678</v>
      </c>
    </row>
    <row r="2" spans="1:12" s="100" customFormat="1" x14ac:dyDescent="0.3">
      <c r="D2" s="107" t="s">
        <v>677</v>
      </c>
      <c r="E2" s="108" t="s">
        <v>679</v>
      </c>
      <c r="F2" s="100" t="s">
        <v>12</v>
      </c>
      <c r="G2" s="100" t="s">
        <v>188</v>
      </c>
      <c r="H2" s="17" t="s">
        <v>189</v>
      </c>
      <c r="I2" s="487" t="s">
        <v>614</v>
      </c>
    </row>
    <row r="3" spans="1:12" s="100" customFormat="1" x14ac:dyDescent="0.3">
      <c r="A3" s="100" t="s">
        <v>200</v>
      </c>
      <c r="D3" s="100" t="s">
        <v>133</v>
      </c>
      <c r="G3" s="100" t="s">
        <v>187</v>
      </c>
      <c r="H3" s="17"/>
      <c r="I3" s="488"/>
      <c r="J3" s="100" t="s">
        <v>785</v>
      </c>
      <c r="K3" s="100" t="s">
        <v>786</v>
      </c>
      <c r="L3" s="100" t="s">
        <v>787</v>
      </c>
    </row>
    <row r="4" spans="1:12" x14ac:dyDescent="0.3">
      <c r="A4" s="48">
        <f>ROW()</f>
        <v>4</v>
      </c>
      <c r="B4" s="48" t="s">
        <v>735</v>
      </c>
      <c r="C4" s="48" t="s">
        <v>736</v>
      </c>
      <c r="D4" s="48" t="str">
        <f>CONCATENATE(УЧРЕЖДЕНИЯ!$A$3)</f>
        <v>Детсад</v>
      </c>
      <c r="E4" s="99" t="s">
        <v>347</v>
      </c>
      <c r="F4" s="102">
        <v>131</v>
      </c>
      <c r="G4" s="102">
        <v>130</v>
      </c>
      <c r="H4" s="17" t="s">
        <v>190</v>
      </c>
      <c r="J4" s="48">
        <v>1</v>
      </c>
      <c r="K4" s="48" t="s">
        <v>788</v>
      </c>
      <c r="L4" s="48">
        <v>2021</v>
      </c>
    </row>
    <row r="5" spans="1:12" x14ac:dyDescent="0.3">
      <c r="D5" s="48" t="str">
        <f>CONCATENATE(УЧРЕЖДЕНИЯ!$A$3)</f>
        <v>Детсад</v>
      </c>
      <c r="E5" s="99" t="s">
        <v>348</v>
      </c>
      <c r="F5" s="102">
        <v>211</v>
      </c>
      <c r="G5" s="102">
        <v>111</v>
      </c>
      <c r="H5" s="17" t="s">
        <v>190</v>
      </c>
      <c r="J5" s="48">
        <v>2</v>
      </c>
      <c r="K5" s="48" t="s">
        <v>789</v>
      </c>
      <c r="L5" s="48">
        <v>2022</v>
      </c>
    </row>
    <row r="6" spans="1:12" x14ac:dyDescent="0.3">
      <c r="D6" s="48" t="str">
        <f>CONCATENATE(УЧРЕЖДЕНИЯ!$A$3)</f>
        <v>Детсад</v>
      </c>
      <c r="E6" s="99" t="s">
        <v>349</v>
      </c>
      <c r="F6" s="102">
        <v>212</v>
      </c>
      <c r="G6" s="102">
        <v>112</v>
      </c>
      <c r="H6" s="17" t="s">
        <v>190</v>
      </c>
      <c r="J6" s="48">
        <v>3</v>
      </c>
      <c r="K6" s="48" t="s">
        <v>790</v>
      </c>
      <c r="L6" s="48">
        <v>2023</v>
      </c>
    </row>
    <row r="7" spans="1:12" x14ac:dyDescent="0.3">
      <c r="D7" s="48" t="str">
        <f>CONCATENATE(УЧРЕЖДЕНИЯ!$A$3)</f>
        <v>Детсад</v>
      </c>
      <c r="E7" s="99" t="s">
        <v>350</v>
      </c>
      <c r="F7" s="102">
        <v>213</v>
      </c>
      <c r="G7" s="102">
        <v>119</v>
      </c>
      <c r="H7" s="17" t="s">
        <v>190</v>
      </c>
      <c r="J7" s="48">
        <v>4</v>
      </c>
      <c r="K7" s="48" t="s">
        <v>783</v>
      </c>
      <c r="L7" s="48">
        <v>2024</v>
      </c>
    </row>
    <row r="8" spans="1:12" x14ac:dyDescent="0.3">
      <c r="D8" s="48" t="str">
        <f>CONCATENATE(УЧРЕЖДЕНИЯ!$A$3)</f>
        <v>Детсад</v>
      </c>
      <c r="E8" s="99" t="s">
        <v>351</v>
      </c>
      <c r="F8" s="102">
        <v>221</v>
      </c>
      <c r="G8" s="102">
        <v>244</v>
      </c>
      <c r="H8" s="17" t="s">
        <v>190</v>
      </c>
      <c r="I8" s="100" t="str">
        <f t="array" ref="I8">IF(OR(F8=152,F8=162),IF((OR(LEFT(RIGHT(E8,13),1)={"A","D","E","F","G","I","L","N","P","R","S","T","V"})),"Ф",""),"")</f>
        <v/>
      </c>
      <c r="J8" s="48">
        <v>5</v>
      </c>
      <c r="K8" s="48" t="s">
        <v>791</v>
      </c>
      <c r="L8" s="48">
        <v>2025</v>
      </c>
    </row>
    <row r="9" spans="1:12" x14ac:dyDescent="0.3">
      <c r="D9" s="48" t="str">
        <f>CONCATENATE(УЧРЕЖДЕНИЯ!$A$3)</f>
        <v>Детсад</v>
      </c>
      <c r="E9" s="99" t="s">
        <v>351</v>
      </c>
      <c r="F9" s="102">
        <v>222</v>
      </c>
      <c r="G9" s="102">
        <v>244</v>
      </c>
      <c r="H9" s="17" t="s">
        <v>190</v>
      </c>
      <c r="I9" s="100" t="str">
        <f>IF(OR(F9=152,F9=162,F9=510),IF((OR(LEFT(RIGHT(E9,13),1)={"A","D","E","F","G","I","L","N","P","R","S","T","V"})),"Ф",""),"")</f>
        <v/>
      </c>
      <c r="J9" s="48">
        <v>6</v>
      </c>
      <c r="K9" s="48" t="s">
        <v>792</v>
      </c>
      <c r="L9" s="48">
        <v>2026</v>
      </c>
    </row>
    <row r="10" spans="1:12" x14ac:dyDescent="0.3">
      <c r="D10" s="48" t="str">
        <f>CONCATENATE(УЧРЕЖДЕНИЯ!$A$3)</f>
        <v>Детсад</v>
      </c>
      <c r="E10" s="99" t="s">
        <v>352</v>
      </c>
      <c r="F10" s="102">
        <v>2233</v>
      </c>
      <c r="G10" s="102">
        <v>244</v>
      </c>
      <c r="H10" s="17" t="s">
        <v>190</v>
      </c>
      <c r="I10" s="100" t="str">
        <f>IF(OR(F10=152,F10=162,F10=510),IF((OR(LEFT(RIGHT(E10,13),1)={"A","D","E","F","G","I","L","N","P","R","S","T","V"})),"Ф",""),"")</f>
        <v/>
      </c>
      <c r="J10" s="48">
        <v>7</v>
      </c>
      <c r="K10" s="48" t="s">
        <v>793</v>
      </c>
      <c r="L10" s="48">
        <v>2027</v>
      </c>
    </row>
    <row r="11" spans="1:12" x14ac:dyDescent="0.3">
      <c r="D11" s="48" t="str">
        <f>CONCATENATE(УЧРЕЖДЕНИЯ!$A$3)</f>
        <v>Детсад</v>
      </c>
      <c r="E11" s="99" t="s">
        <v>351</v>
      </c>
      <c r="F11" s="102">
        <v>224</v>
      </c>
      <c r="G11" s="102">
        <v>244</v>
      </c>
      <c r="H11" s="17" t="s">
        <v>190</v>
      </c>
      <c r="I11" s="100" t="str">
        <f>IF(OR(F11=152,F11=162,F11=510),IF((OR(LEFT(RIGHT(E11,13),1)={"A","D","E","F","G","I","L","N","P","R","S","T","V"})),"Ф",""),"")</f>
        <v/>
      </c>
      <c r="J11" s="48">
        <v>8</v>
      </c>
      <c r="K11" s="48" t="s">
        <v>794</v>
      </c>
      <c r="L11" s="48">
        <v>2028</v>
      </c>
    </row>
    <row r="12" spans="1:12" x14ac:dyDescent="0.3">
      <c r="D12" s="48" t="str">
        <f>CONCATENATE(УЧРЕЖДЕНИЯ!$A$3)</f>
        <v>Детсад</v>
      </c>
      <c r="E12" s="99" t="s">
        <v>351</v>
      </c>
      <c r="F12" s="102">
        <v>225</v>
      </c>
      <c r="G12" s="102">
        <v>244</v>
      </c>
      <c r="H12" s="17" t="s">
        <v>190</v>
      </c>
      <c r="I12" s="100" t="str">
        <f>IF(OR(F12=152,F12=162,F12=510),IF((OR(LEFT(RIGHT(E12,13),1)={"A","D","E","F","G","I","L","N","P","R","S","T","V"})),"Ф",""),"")</f>
        <v/>
      </c>
      <c r="J12" s="48">
        <v>9</v>
      </c>
      <c r="K12" s="48" t="s">
        <v>795</v>
      </c>
      <c r="L12" s="48">
        <v>2029</v>
      </c>
    </row>
    <row r="13" spans="1:12" x14ac:dyDescent="0.3">
      <c r="D13" s="48" t="str">
        <f>CONCATENATE(УЧРЕЖДЕНИЯ!$A$3)</f>
        <v>Детсад</v>
      </c>
      <c r="E13" s="99" t="s">
        <v>351</v>
      </c>
      <c r="F13" s="102">
        <v>226</v>
      </c>
      <c r="G13" s="102">
        <v>244</v>
      </c>
      <c r="H13" s="17" t="s">
        <v>190</v>
      </c>
      <c r="I13" s="100" t="str">
        <f>IF(OR(F13=152,F13=162,F13=510),IF((OR(LEFT(RIGHT(E13,13),1)={"A","D","E","F","G","I","L","N","P","R","S","T","V"})),"Ф",""),"")</f>
        <v/>
      </c>
      <c r="J13" s="48">
        <v>10</v>
      </c>
      <c r="K13" s="48" t="s">
        <v>796</v>
      </c>
      <c r="L13" s="48">
        <v>2030</v>
      </c>
    </row>
    <row r="14" spans="1:12" x14ac:dyDescent="0.3">
      <c r="D14" s="48" t="str">
        <f>CONCATENATE(УЧРЕЖДЕНИЯ!$A$3)</f>
        <v>Детсад</v>
      </c>
      <c r="E14" s="99" t="s">
        <v>351</v>
      </c>
      <c r="F14" s="102">
        <v>310</v>
      </c>
      <c r="G14" s="102">
        <v>244</v>
      </c>
      <c r="H14" s="17" t="s">
        <v>190</v>
      </c>
      <c r="I14" s="100" t="str">
        <f>IF(OR(F14=152,F14=162,F14=510),IF((OR(LEFT(RIGHT(E14,13),1)={"A","D","E","F","G","I","L","N","P","R","S","T","V"})),"Ф",""),"")</f>
        <v/>
      </c>
      <c r="J14" s="48">
        <v>11</v>
      </c>
      <c r="K14" s="48" t="s">
        <v>797</v>
      </c>
      <c r="L14" s="48">
        <v>2031</v>
      </c>
    </row>
    <row r="15" spans="1:12" x14ac:dyDescent="0.3">
      <c r="D15" s="48" t="str">
        <f>CONCATENATE(УЧРЕЖДЕНИЯ!$A$3)</f>
        <v>Детсад</v>
      </c>
      <c r="E15" s="99" t="s">
        <v>351</v>
      </c>
      <c r="F15" s="102">
        <v>341</v>
      </c>
      <c r="G15" s="102">
        <v>244</v>
      </c>
      <c r="H15" s="17" t="s">
        <v>190</v>
      </c>
      <c r="I15" s="100" t="str">
        <f>IF(OR(F15=152,F15=162,F15=510),IF((OR(LEFT(RIGHT(E15,13),1)={"A","D","E","F","G","I","L","N","P","R","S","T","V"})),"Ф",""),"")</f>
        <v/>
      </c>
      <c r="J15" s="48">
        <v>12</v>
      </c>
      <c r="K15" s="48" t="s">
        <v>798</v>
      </c>
      <c r="L15" s="48">
        <v>2032</v>
      </c>
    </row>
    <row r="16" spans="1:12" x14ac:dyDescent="0.3">
      <c r="D16" s="48" t="str">
        <f>CONCATENATE(УЧРЕЖДЕНИЯ!$A$3)</f>
        <v>Детсад</v>
      </c>
      <c r="E16" s="99" t="s">
        <v>351</v>
      </c>
      <c r="F16" s="102">
        <v>342</v>
      </c>
      <c r="G16" s="102">
        <v>244</v>
      </c>
      <c r="H16" s="17" t="s">
        <v>190</v>
      </c>
      <c r="I16" s="100" t="str">
        <f>IF(OR(F16=152,F16=162,F16=510),IF((OR(LEFT(RIGHT(E16,13),1)={"A","D","E","F","G","I","L","N","P","R","S","T","V"})),"Ф",""),"")</f>
        <v/>
      </c>
      <c r="J16" s="48">
        <v>13</v>
      </c>
    </row>
    <row r="17" spans="4:10" x14ac:dyDescent="0.3">
      <c r="D17" s="48" t="str">
        <f>CONCATENATE(УЧРЕЖДЕНИЯ!$A$3)</f>
        <v>Детсад</v>
      </c>
      <c r="E17" s="99" t="s">
        <v>351</v>
      </c>
      <c r="F17" s="102">
        <v>344</v>
      </c>
      <c r="G17" s="102">
        <v>244</v>
      </c>
      <c r="H17" s="17" t="s">
        <v>190</v>
      </c>
      <c r="I17" s="100" t="str">
        <f>IF(OR(F17=152,F17=162,F17=510),IF((OR(LEFT(RIGHT(E17,13),1)={"A","D","E","F","G","I","L","N","P","R","S","T","V"})),"Ф",""),"")</f>
        <v/>
      </c>
      <c r="J17" s="48">
        <v>14</v>
      </c>
    </row>
    <row r="18" spans="4:10" x14ac:dyDescent="0.3">
      <c r="D18" s="48" t="str">
        <f>CONCATENATE(УЧРЕЖДЕНИЯ!$A$3)</f>
        <v>Детсад</v>
      </c>
      <c r="E18" s="99" t="s">
        <v>351</v>
      </c>
      <c r="F18" s="102">
        <v>345</v>
      </c>
      <c r="G18" s="102">
        <v>244</v>
      </c>
      <c r="H18" s="17" t="s">
        <v>190</v>
      </c>
      <c r="I18" s="100" t="str">
        <f>IF(OR(F18=152,F18=162,F18=510),IF((OR(LEFT(RIGHT(E18,13),1)={"A","D","E","F","G","I","L","N","P","R","S","T","V"})),"Ф",""),"")</f>
        <v/>
      </c>
      <c r="J18" s="48">
        <v>15</v>
      </c>
    </row>
    <row r="19" spans="4:10" x14ac:dyDescent="0.3">
      <c r="D19" s="48" t="str">
        <f>CONCATENATE(УЧРЕЖДЕНИЯ!$A$3)</f>
        <v>Детсад</v>
      </c>
      <c r="E19" s="99" t="s">
        <v>351</v>
      </c>
      <c r="F19" s="102">
        <v>346</v>
      </c>
      <c r="G19" s="102">
        <v>244</v>
      </c>
      <c r="H19" s="17" t="s">
        <v>190</v>
      </c>
      <c r="I19" s="100" t="str">
        <f>IF(OR(F19=152,F19=162,F19=510),IF((OR(LEFT(RIGHT(E19,13),1)={"A","D","E","F","G","I","L","N","P","R","S","T","V"})),"Ф",""),"")</f>
        <v/>
      </c>
      <c r="J19" s="48">
        <v>16</v>
      </c>
    </row>
    <row r="20" spans="4:10" x14ac:dyDescent="0.3">
      <c r="D20" s="48" t="str">
        <f>CONCATENATE(УЧРЕЖДЕНИЯ!$A$3)</f>
        <v>Детсад</v>
      </c>
      <c r="E20" s="99" t="s">
        <v>351</v>
      </c>
      <c r="F20" s="102">
        <v>349</v>
      </c>
      <c r="G20" s="102">
        <v>244</v>
      </c>
      <c r="H20" s="17" t="s">
        <v>190</v>
      </c>
      <c r="I20" s="100" t="str">
        <f>IF(OR(F20=152,F20=162,F20=510),IF((OR(LEFT(RIGHT(E20,13),1)={"A","D","E","F","G","I","L","N","P","R","S","T","V"})),"Ф",""),"")</f>
        <v/>
      </c>
      <c r="J20" s="48">
        <v>17</v>
      </c>
    </row>
    <row r="21" spans="4:10" x14ac:dyDescent="0.3">
      <c r="D21" s="48" t="str">
        <f>CONCATENATE(УЧРЕЖДЕНИЯ!$A$3)</f>
        <v>Детсад</v>
      </c>
      <c r="E21" s="99" t="s">
        <v>683</v>
      </c>
      <c r="F21" s="102">
        <v>2231</v>
      </c>
      <c r="G21" s="102">
        <v>247</v>
      </c>
      <c r="H21" s="17" t="s">
        <v>190</v>
      </c>
      <c r="I21" s="100" t="str">
        <f>IF(OR(F21=152,F21=162,F21=510),IF((OR(LEFT(RIGHT(E21,13),1)={"A","D","E","F","G","I","L","N","P","R","S","T","V"})),"Ф",""),"")</f>
        <v/>
      </c>
      <c r="J21" s="48">
        <v>19</v>
      </c>
    </row>
    <row r="22" spans="4:10" x14ac:dyDescent="0.3">
      <c r="D22" s="48" t="str">
        <f>CONCATENATE(УЧРЕЖДЕНИЯ!$A$3)</f>
        <v>Детсад</v>
      </c>
      <c r="E22" s="99" t="s">
        <v>695</v>
      </c>
      <c r="F22" s="102">
        <v>2232</v>
      </c>
      <c r="G22" s="102">
        <v>247</v>
      </c>
      <c r="H22" s="17" t="s">
        <v>190</v>
      </c>
      <c r="I22" s="100" t="str">
        <f>IF(OR(F22=152,F22=162,F22=510),IF((OR(LEFT(RIGHT(E22,13),1)={"A","D","E","F","G","I","L","N","P","R","S","T","V"})),"Ф",""),"")</f>
        <v/>
      </c>
      <c r="J22" s="48">
        <v>20</v>
      </c>
    </row>
    <row r="23" spans="4:10" x14ac:dyDescent="0.3">
      <c r="D23" s="48" t="str">
        <f>CONCATENATE(УЧРЕЖДЕНИЯ!$A$3)</f>
        <v>Детсад</v>
      </c>
      <c r="E23" s="99" t="s">
        <v>353</v>
      </c>
      <c r="F23" s="102">
        <v>262</v>
      </c>
      <c r="G23" s="102">
        <v>360</v>
      </c>
      <c r="H23" s="17" t="s">
        <v>190</v>
      </c>
      <c r="I23" s="100" t="str">
        <f>IF(OR(F23=152,F23=162,F23=510),IF((OR(LEFT(RIGHT(E23,13),1)={"A","D","E","F","G","I","L","N","P","R","S","T","V"})),"Ф",""),"")</f>
        <v/>
      </c>
      <c r="J23" s="48">
        <v>21</v>
      </c>
    </row>
    <row r="24" spans="4:10" x14ac:dyDescent="0.3">
      <c r="D24" s="48" t="str">
        <f>CONCATENATE(УЧРЕЖДЕНИЯ!$A$3)</f>
        <v>Детсад</v>
      </c>
      <c r="E24" s="99" t="s">
        <v>346</v>
      </c>
      <c r="F24" s="102">
        <v>510</v>
      </c>
      <c r="G24" s="102">
        <v>510</v>
      </c>
      <c r="H24" s="17" t="s">
        <v>190</v>
      </c>
      <c r="I24" s="100" t="str">
        <f>IF(OR(F24=152,F24=162,F24=510),IF((OR(LEFT(RIGHT(E24,13),1)={"A","D","E","F","G","I","L","N","P","R","S","T","V"})),"Ф",""),"")</f>
        <v/>
      </c>
      <c r="J24" s="48">
        <v>22</v>
      </c>
    </row>
    <row r="25" spans="4:10" x14ac:dyDescent="0.3">
      <c r="D25" s="48" t="str">
        <f>CONCATENATE(УЧРЕЖДЕНИЯ!$A$3)</f>
        <v>Детсад</v>
      </c>
      <c r="E25" s="99" t="s">
        <v>354</v>
      </c>
      <c r="F25" s="102">
        <v>291</v>
      </c>
      <c r="G25" s="102">
        <v>851</v>
      </c>
      <c r="H25" s="17" t="s">
        <v>190</v>
      </c>
      <c r="I25" s="100" t="str">
        <f>IF(OR(F25=152,F25=162,F25=510),IF((OR(LEFT(RIGHT(E25,13),1)={"A","D","E","F","G","I","L","N","P","R","S","T","V"})),"Ф",""),"")</f>
        <v/>
      </c>
      <c r="J25" s="48">
        <v>23</v>
      </c>
    </row>
    <row r="26" spans="4:10" x14ac:dyDescent="0.3">
      <c r="D26" s="48" t="str">
        <f>CONCATENATE(УЧРЕЖДЕНИЯ!$A$3)</f>
        <v>Детсад</v>
      </c>
      <c r="E26" s="99" t="s">
        <v>355</v>
      </c>
      <c r="F26" s="102">
        <v>291</v>
      </c>
      <c r="G26" s="102">
        <v>852</v>
      </c>
      <c r="H26" s="17" t="s">
        <v>190</v>
      </c>
      <c r="I26" s="100" t="str">
        <f>IF(OR(F26=152,F26=162,F26=510),IF((OR(LEFT(RIGHT(E26,13),1)={"A","D","E","F","G","I","L","N","P","R","S","T","V"})),"Ф",""),"")</f>
        <v/>
      </c>
      <c r="J26" s="48">
        <v>24</v>
      </c>
    </row>
    <row r="27" spans="4:10" x14ac:dyDescent="0.3">
      <c r="D27" s="48" t="str">
        <f>CONCATENATE(УЧРЕЖДЕНИЯ!$A$3)</f>
        <v>Детсад</v>
      </c>
      <c r="E27" s="99" t="s">
        <v>356</v>
      </c>
      <c r="F27" s="102">
        <v>292</v>
      </c>
      <c r="G27" s="102">
        <v>853</v>
      </c>
      <c r="H27" s="17" t="s">
        <v>190</v>
      </c>
      <c r="I27" s="100" t="str">
        <f>IF(OR(F27=152,F27=162,F27=510),IF((OR(LEFT(RIGHT(E27,13),1)={"A","D","E","F","G","I","L","N","P","R","S","T","V"})),"Ф",""),"")</f>
        <v/>
      </c>
      <c r="J27" s="48">
        <v>25</v>
      </c>
    </row>
    <row r="28" spans="4:10" x14ac:dyDescent="0.3">
      <c r="D28" s="48" t="str">
        <f>CONCATENATE(УЧРЕЖДЕНИЯ!$A$3)</f>
        <v>Детсад</v>
      </c>
      <c r="E28" s="99" t="s">
        <v>356</v>
      </c>
      <c r="F28" s="102">
        <v>295</v>
      </c>
      <c r="G28" s="102">
        <v>853</v>
      </c>
      <c r="H28" s="17" t="s">
        <v>190</v>
      </c>
      <c r="I28" s="100" t="str">
        <f>IF(OR(F28=152,F28=162,F28=510),IF((OR(LEFT(RIGHT(E28,13),1)={"A","D","E","F","G","I","L","N","P","R","S","T","V"})),"Ф",""),"")</f>
        <v/>
      </c>
      <c r="J28" s="48">
        <v>26</v>
      </c>
    </row>
    <row r="29" spans="4:10" x14ac:dyDescent="0.3">
      <c r="D29" s="48" t="str">
        <f>CONCATENATE(УЧРЕЖДЕНИЯ!$A$3)</f>
        <v>Детсад</v>
      </c>
      <c r="E29" s="99" t="s">
        <v>360</v>
      </c>
      <c r="F29" s="100">
        <v>510</v>
      </c>
      <c r="G29" s="102">
        <v>510</v>
      </c>
      <c r="H29" s="17" t="s">
        <v>190</v>
      </c>
      <c r="I29" s="100" t="str">
        <f>IF(OR(F29=152,F29=162,F29=510),IF((OR(LEFT(RIGHT(E29,13),1)={"A","D","E","F","G","I","L","N","P","R","S","T","V"})),"Ф",""),"")</f>
        <v/>
      </c>
      <c r="J29" s="48">
        <v>27</v>
      </c>
    </row>
    <row r="30" spans="4:10" x14ac:dyDescent="0.3">
      <c r="D30" s="48" t="str">
        <f>CONCATENATE(УЧРЕЖДЕНИЯ!$A$3)</f>
        <v>Детсад</v>
      </c>
      <c r="E30" s="99" t="s">
        <v>361</v>
      </c>
      <c r="F30" s="100">
        <v>6101</v>
      </c>
      <c r="G30" s="102">
        <v>610</v>
      </c>
      <c r="H30" s="17" t="s">
        <v>190</v>
      </c>
      <c r="I30" s="100" t="str">
        <f>IF(OR(F30=152,F30=162,F30=510),IF((OR(LEFT(RIGHT(E30,13),1)={"A","D","E","F","G","I","L","N","P","R","S","T","V"})),"Ф",""),"")</f>
        <v/>
      </c>
      <c r="J30" s="48">
        <v>28</v>
      </c>
    </row>
    <row r="31" spans="4:10" x14ac:dyDescent="0.3">
      <c r="D31" s="48" t="str">
        <f>CONCATENATE(УЧРЕЖДЕНИЯ!$A$3)</f>
        <v>Детсад</v>
      </c>
      <c r="E31" s="99" t="s">
        <v>363</v>
      </c>
      <c r="F31" s="100">
        <v>155</v>
      </c>
      <c r="G31" s="100">
        <v>150</v>
      </c>
      <c r="H31" s="17" t="s">
        <v>190</v>
      </c>
      <c r="I31" s="100" t="str">
        <f>IF(OR(F31=152,F31=162,F31=510),IF((OR(LEFT(RIGHT(E31,13),1)={"A","D","E","F","G","I","L","N","P","R","S","T","V"})),"Ф",""),"")</f>
        <v/>
      </c>
      <c r="J31" s="48">
        <v>29</v>
      </c>
    </row>
    <row r="32" spans="4:10" x14ac:dyDescent="0.3">
      <c r="D32" s="48" t="str">
        <f>CONCATENATE(УЧРЕЖДЕНИЯ!$A$3)</f>
        <v>Детсад</v>
      </c>
      <c r="E32" s="99" t="s">
        <v>364</v>
      </c>
      <c r="F32" s="100">
        <v>225</v>
      </c>
      <c r="G32" s="100">
        <v>244</v>
      </c>
      <c r="H32" s="17" t="s">
        <v>190</v>
      </c>
      <c r="I32" s="100" t="str">
        <f>IF(OR(F32=152,F32=162,F32=510),IF((OR(LEFT(RIGHT(E32,13),1)={"A","D","E","F","G","I","L","N","P","R","S","T","V"})),"Ф",""),"")</f>
        <v/>
      </c>
      <c r="J32" s="48">
        <v>30</v>
      </c>
    </row>
    <row r="33" spans="2:10" x14ac:dyDescent="0.3">
      <c r="D33" s="48" t="str">
        <f>CONCATENATE(УЧРЕЖДЕНИЯ!$A$3)</f>
        <v>Детсад</v>
      </c>
      <c r="E33" s="99" t="s">
        <v>364</v>
      </c>
      <c r="F33" s="100">
        <v>226</v>
      </c>
      <c r="G33" s="100">
        <v>244</v>
      </c>
      <c r="H33" s="17" t="s">
        <v>190</v>
      </c>
      <c r="I33" s="100" t="str">
        <f>IF(OR(F33=152,F33=162,F33=510),IF((OR(LEFT(RIGHT(E33,13),1)={"A","D","E","F","G","I","L","N","P","R","S","T","V"})),"Ф",""),"")</f>
        <v/>
      </c>
      <c r="J33" s="48">
        <v>31</v>
      </c>
    </row>
    <row r="34" spans="2:10" x14ac:dyDescent="0.3">
      <c r="D34" s="48" t="str">
        <f>CONCATENATE(УЧРЕЖДЕНИЯ!$A$3)</f>
        <v>Детсад</v>
      </c>
      <c r="E34" s="99" t="s">
        <v>364</v>
      </c>
      <c r="F34" s="100">
        <v>310</v>
      </c>
      <c r="G34" s="100">
        <v>244</v>
      </c>
      <c r="H34" s="17" t="s">
        <v>190</v>
      </c>
      <c r="I34" s="100" t="str">
        <f>IF(OR(F34=152,F34=162,F34=510),IF((OR(LEFT(RIGHT(E34,13),1)={"A","D","E","F","G","I","L","N","P","R","S","T","V"})),"Ф",""),"")</f>
        <v/>
      </c>
    </row>
    <row r="35" spans="2:10" x14ac:dyDescent="0.3">
      <c r="D35" s="48" t="str">
        <f>CONCATENATE(УЧРЕЖДЕНИЯ!$A$3)</f>
        <v>Детсад</v>
      </c>
      <c r="E35" s="99" t="s">
        <v>364</v>
      </c>
      <c r="F35" s="100">
        <v>341</v>
      </c>
      <c r="G35" s="100">
        <v>244</v>
      </c>
      <c r="H35" s="17" t="s">
        <v>190</v>
      </c>
      <c r="I35" s="100" t="str">
        <f>IF(OR(F35=152,F35=162,F35=510),IF((OR(LEFT(RIGHT(E35,13),1)={"A","D","E","F","G","I","L","N","P","R","S","T","V"})),"Ф",""),"")</f>
        <v/>
      </c>
    </row>
    <row r="36" spans="2:10" x14ac:dyDescent="0.3">
      <c r="D36" s="48" t="str">
        <f>CONCATENATE(УЧРЕЖДЕНИЯ!$A$3)</f>
        <v>Детсад</v>
      </c>
      <c r="E36" s="99" t="s">
        <v>364</v>
      </c>
      <c r="F36" s="100">
        <v>342</v>
      </c>
      <c r="G36" s="100">
        <v>244</v>
      </c>
      <c r="H36" s="17" t="s">
        <v>190</v>
      </c>
      <c r="I36" s="100" t="str">
        <f>IF(OR(F36=152,F36=162,F36=510),IF((OR(LEFT(RIGHT(E36,13),1)={"A","D","E","F","G","I","L","N","P","R","S","T","V"})),"Ф",""),"")</f>
        <v/>
      </c>
    </row>
    <row r="37" spans="2:10" x14ac:dyDescent="0.3">
      <c r="D37" s="48" t="str">
        <f>CONCATENATE(УЧРЕЖДЕНИЯ!$A$3)</f>
        <v>Детсад</v>
      </c>
      <c r="E37" s="99" t="s">
        <v>362</v>
      </c>
      <c r="F37" s="100">
        <v>510</v>
      </c>
      <c r="G37" s="102">
        <v>510</v>
      </c>
      <c r="H37" s="17" t="s">
        <v>190</v>
      </c>
      <c r="I37" s="100" t="str">
        <f>IF(OR(F37=152,F37=162,F37=510),IF((OR(LEFT(RIGHT(E37,13),1)={"A","D","E","F","G","I","L","N","P","R","S","T","V"})),"Ф",""),"")</f>
        <v/>
      </c>
    </row>
    <row r="38" spans="2:10" x14ac:dyDescent="0.3">
      <c r="B38" s="48" t="s">
        <v>735</v>
      </c>
      <c r="C38" s="48" t="s">
        <v>737</v>
      </c>
      <c r="D38" s="48" t="str">
        <f>CONCATENATE(УЧРЕЖДЕНИЯ!$A$4)</f>
        <v>Школа</v>
      </c>
      <c r="E38" s="99" t="s">
        <v>368</v>
      </c>
      <c r="F38" s="100">
        <v>121</v>
      </c>
      <c r="G38" s="100">
        <v>120</v>
      </c>
      <c r="H38" s="17" t="s">
        <v>191</v>
      </c>
      <c r="I38" s="100" t="str">
        <f>IF(OR(F38=152,F38=162,F38=510),IF((OR(LEFT(RIGHT(E38,13),1)={"A","D","E","F","G","I","L","N","P","R","S","T","V"})),"Ф",""),"")</f>
        <v/>
      </c>
    </row>
    <row r="39" spans="2:10" x14ac:dyDescent="0.3">
      <c r="D39" s="48" t="str">
        <f>CONCATENATE(УЧРЕЖДЕНИЯ!$A$4)</f>
        <v>Школа</v>
      </c>
      <c r="E39" s="99" t="s">
        <v>369</v>
      </c>
      <c r="F39" s="102">
        <v>225</v>
      </c>
      <c r="G39" s="102">
        <v>244</v>
      </c>
      <c r="H39" s="17" t="s">
        <v>191</v>
      </c>
      <c r="I39" s="100" t="str">
        <f>IF(OR(F39=152,F39=162,F39=510),IF((OR(LEFT(RIGHT(E39,13),1)={"A","D","E","F","G","I","L","N","P","R","S","T","V"})),"Ф",""),"")</f>
        <v/>
      </c>
    </row>
    <row r="40" spans="2:10" x14ac:dyDescent="0.3">
      <c r="D40" s="48" t="str">
        <f>CONCATENATE(УЧРЕЖДЕНИЯ!$A$4)</f>
        <v>Школа</v>
      </c>
      <c r="E40" s="99" t="s">
        <v>369</v>
      </c>
      <c r="F40" s="102">
        <v>226</v>
      </c>
      <c r="G40" s="102">
        <v>244</v>
      </c>
      <c r="H40" s="17" t="s">
        <v>191</v>
      </c>
      <c r="I40" s="100" t="str">
        <f>IF(OR(F40=152,F40=162,F40=510),IF((OR(LEFT(RIGHT(E40,13),1)={"A","D","E","F","G","I","L","N","P","R","S","T","V"})),"Ф",""),"")</f>
        <v/>
      </c>
    </row>
    <row r="41" spans="2:10" x14ac:dyDescent="0.3">
      <c r="D41" s="48" t="str">
        <f>CONCATENATE(УЧРЕЖДЕНИЯ!$A$4)</f>
        <v>Школа</v>
      </c>
      <c r="E41" s="99" t="s">
        <v>369</v>
      </c>
      <c r="F41" s="102">
        <v>310</v>
      </c>
      <c r="G41" s="102">
        <v>244</v>
      </c>
      <c r="H41" s="17" t="s">
        <v>191</v>
      </c>
      <c r="I41" s="100" t="str">
        <f>IF(OR(F41=152,F41=162,F41=510),IF((OR(LEFT(RIGHT(E41,13),1)={"A","D","E","F","G","I","L","N","P","R","S","T","V"})),"Ф",""),"")</f>
        <v/>
      </c>
    </row>
    <row r="42" spans="2:10" x14ac:dyDescent="0.3">
      <c r="D42" s="48" t="str">
        <f>CONCATENATE(УЧРЕЖДЕНИЯ!$A$4)</f>
        <v>Школа</v>
      </c>
      <c r="E42" s="99" t="s">
        <v>369</v>
      </c>
      <c r="F42" s="102">
        <v>344</v>
      </c>
      <c r="G42" s="102">
        <v>244</v>
      </c>
      <c r="H42" s="17" t="s">
        <v>191</v>
      </c>
      <c r="I42" s="100" t="str">
        <f>IF(OR(F42=152,F42=162,F42=510),IF((OR(LEFT(RIGHT(E42,13),1)={"A","D","E","F","G","I","L","N","P","R","S","T","V"})),"Ф",""),"")</f>
        <v/>
      </c>
    </row>
    <row r="43" spans="2:10" x14ac:dyDescent="0.3">
      <c r="D43" s="48" t="str">
        <f>CONCATENATE(УЧРЕЖДЕНИЯ!$A$4)</f>
        <v>Школа</v>
      </c>
      <c r="E43" s="99" t="s">
        <v>369</v>
      </c>
      <c r="F43" s="102">
        <v>346</v>
      </c>
      <c r="G43" s="102">
        <v>244</v>
      </c>
      <c r="H43" s="17" t="s">
        <v>191</v>
      </c>
      <c r="I43" s="100" t="str">
        <f>IF(OR(F43=152,F43=162,F43=510),IF((OR(LEFT(RIGHT(E43,13),1)={"A","D","E","F","G","I","L","N","P","R","S","T","V"})),"Ф",""),"")</f>
        <v/>
      </c>
    </row>
    <row r="44" spans="2:10" x14ac:dyDescent="0.3">
      <c r="D44" s="48" t="str">
        <f>CONCATENATE(УЧРЕЖДЕНИЯ!$A$4)</f>
        <v>Школа</v>
      </c>
      <c r="E44" s="99" t="s">
        <v>684</v>
      </c>
      <c r="F44" s="102">
        <v>2231</v>
      </c>
      <c r="G44" s="102">
        <v>247</v>
      </c>
      <c r="H44" s="17" t="s">
        <v>191</v>
      </c>
      <c r="I44" s="100" t="str">
        <f>IF(OR(F44=152,F44=162,F44=510),IF((OR(LEFT(RIGHT(E44,13),1)={"A","D","E","F","G","I","L","N","P","R","S","T","V"})),"Ф",""),"")</f>
        <v/>
      </c>
    </row>
    <row r="45" spans="2:10" x14ac:dyDescent="0.3">
      <c r="D45" s="48" t="str">
        <f>CONCATENATE(УЧРЕЖДЕНИЯ!$A$4)</f>
        <v>Школа</v>
      </c>
      <c r="E45" s="99" t="s">
        <v>696</v>
      </c>
      <c r="F45" s="102">
        <v>2232</v>
      </c>
      <c r="G45" s="102">
        <v>247</v>
      </c>
      <c r="H45" s="17" t="s">
        <v>191</v>
      </c>
      <c r="I45" s="100" t="str">
        <f>IF(OR(F45=152,F45=162,F45=510),IF((OR(LEFT(RIGHT(E45,13),1)={"A","D","E","F","G","I","L","N","P","R","S","T","V"})),"Ф",""),"")</f>
        <v/>
      </c>
    </row>
    <row r="46" spans="2:10" x14ac:dyDescent="0.3">
      <c r="D46" s="48" t="str">
        <f>CONCATENATE(УЧРЕЖДЕНИЯ!$A$4)</f>
        <v>Школа</v>
      </c>
      <c r="E46" s="99" t="s">
        <v>346</v>
      </c>
      <c r="F46" s="102">
        <v>510</v>
      </c>
      <c r="G46" s="102">
        <v>510</v>
      </c>
      <c r="H46" s="17" t="s">
        <v>191</v>
      </c>
      <c r="I46" s="100" t="str">
        <f>IF(OR(F46=152,F46=162,F46=510),IF((OR(LEFT(RIGHT(E46,13),1)={"A","D","E","F","G","I","L","N","P","R","S","T","V"})),"Ф",""),"")</f>
        <v/>
      </c>
    </row>
    <row r="47" spans="2:10" x14ac:dyDescent="0.3">
      <c r="D47" s="48" t="str">
        <f>CONCATENATE(УЧРЕЖДЕНИЯ!$A$4)</f>
        <v>Школа</v>
      </c>
      <c r="E47" s="99" t="s">
        <v>347</v>
      </c>
      <c r="F47" s="102">
        <v>131</v>
      </c>
      <c r="G47" s="102">
        <v>130</v>
      </c>
      <c r="H47" s="17" t="s">
        <v>191</v>
      </c>
      <c r="I47" s="100" t="str">
        <f>IF(OR(F47=152,F47=162,F47=510),IF((OR(LEFT(RIGHT(E47,13),1)={"A","D","E","F","G","I","L","N","P","R","S","T","V"})),"Ф",""),"")</f>
        <v/>
      </c>
    </row>
    <row r="48" spans="2:10" x14ac:dyDescent="0.3">
      <c r="D48" s="48" t="str">
        <f>CONCATENATE(УЧРЕЖДЕНИЯ!$A$4)</f>
        <v>Школа</v>
      </c>
      <c r="E48" s="99" t="s">
        <v>348</v>
      </c>
      <c r="F48" s="102">
        <v>211</v>
      </c>
      <c r="G48" s="102">
        <v>111</v>
      </c>
      <c r="H48" s="17" t="s">
        <v>191</v>
      </c>
      <c r="I48" s="100" t="str">
        <f>IF(OR(F48=152,F48=162,F48=510),IF((OR(LEFT(RIGHT(E48,13),1)={"A","D","E","F","G","I","L","N","P","R","S","T","V"})),"Ф",""),"")</f>
        <v/>
      </c>
    </row>
    <row r="49" spans="4:9" x14ac:dyDescent="0.3">
      <c r="D49" s="48" t="str">
        <f>CONCATENATE(УЧРЕЖДЕНИЯ!$A$4)</f>
        <v>Школа</v>
      </c>
      <c r="E49" s="99" t="s">
        <v>349</v>
      </c>
      <c r="F49" s="102">
        <v>212</v>
      </c>
      <c r="G49" s="102">
        <v>112</v>
      </c>
      <c r="H49" s="17" t="s">
        <v>191</v>
      </c>
      <c r="I49" s="100" t="str">
        <f>IF(OR(F49=152,F49=162,F49=510),IF((OR(LEFT(RIGHT(E49,13),1)={"A","D","E","F","G","I","L","N","P","R","S","T","V"})),"Ф",""),"")</f>
        <v/>
      </c>
    </row>
    <row r="50" spans="4:9" x14ac:dyDescent="0.3">
      <c r="D50" s="48" t="str">
        <f>CONCATENATE(УЧРЕЖДЕНИЯ!$A$4)</f>
        <v>Школа</v>
      </c>
      <c r="E50" s="99" t="s">
        <v>350</v>
      </c>
      <c r="F50" s="102">
        <v>213</v>
      </c>
      <c r="G50" s="102">
        <v>119</v>
      </c>
      <c r="H50" s="17" t="s">
        <v>191</v>
      </c>
      <c r="I50" s="100" t="str">
        <f>IF(OR(F50=152,F50=162,F50=510),IF((OR(LEFT(RIGHT(E50,13),1)={"A","D","E","F","G","I","L","N","P","R","S","T","V"})),"Ф",""),"")</f>
        <v/>
      </c>
    </row>
    <row r="51" spans="4:9" x14ac:dyDescent="0.3">
      <c r="D51" s="48" t="str">
        <f>CONCATENATE(УЧРЕЖДЕНИЯ!$A$4)</f>
        <v>Школа</v>
      </c>
      <c r="E51" s="99" t="s">
        <v>351</v>
      </c>
      <c r="F51" s="102">
        <v>221</v>
      </c>
      <c r="G51" s="102">
        <v>244</v>
      </c>
      <c r="H51" s="17" t="s">
        <v>191</v>
      </c>
      <c r="I51" s="100" t="str">
        <f>IF(OR(F51=152,F51=162,F51=510),IF((OR(LEFT(RIGHT(E51,13),1)={"A","D","E","F","G","I","L","N","P","R","S","T","V"})),"Ф",""),"")</f>
        <v/>
      </c>
    </row>
    <row r="52" spans="4:9" x14ac:dyDescent="0.3">
      <c r="D52" s="48" t="str">
        <f>CONCATENATE(УЧРЕЖДЕНИЯ!$A$4)</f>
        <v>Школа</v>
      </c>
      <c r="E52" s="99" t="s">
        <v>351</v>
      </c>
      <c r="F52" s="102">
        <v>222</v>
      </c>
      <c r="G52" s="102">
        <v>244</v>
      </c>
      <c r="H52" s="17" t="s">
        <v>191</v>
      </c>
      <c r="I52" s="100" t="str">
        <f>IF(OR(F52=152,F52=162,F52=510),IF((OR(LEFT(RIGHT(E52,13),1)={"A","D","E","F","G","I","L","N","P","R","S","T","V"})),"Ф",""),"")</f>
        <v/>
      </c>
    </row>
    <row r="53" spans="4:9" x14ac:dyDescent="0.3">
      <c r="D53" s="48" t="str">
        <f>CONCATENATE(УЧРЕЖДЕНИЯ!$A$4)</f>
        <v>Школа</v>
      </c>
      <c r="E53" s="99" t="s">
        <v>351</v>
      </c>
      <c r="F53" s="102">
        <v>224</v>
      </c>
      <c r="G53" s="102">
        <v>244</v>
      </c>
      <c r="H53" s="17" t="s">
        <v>191</v>
      </c>
      <c r="I53" s="100" t="str">
        <f>IF(OR(F53=152,F53=162,F53=510),IF((OR(LEFT(RIGHT(E53,13),1)={"A","D","E","F","G","I","L","N","P","R","S","T","V"})),"Ф",""),"")</f>
        <v/>
      </c>
    </row>
    <row r="54" spans="4:9" x14ac:dyDescent="0.3">
      <c r="D54" s="48" t="str">
        <f>CONCATENATE(УЧРЕЖДЕНИЯ!$A$4)</f>
        <v>Школа</v>
      </c>
      <c r="E54" s="99" t="s">
        <v>351</v>
      </c>
      <c r="F54" s="102">
        <v>225</v>
      </c>
      <c r="G54" s="102">
        <v>244</v>
      </c>
      <c r="H54" s="17" t="s">
        <v>191</v>
      </c>
      <c r="I54" s="100" t="str">
        <f>IF(OR(F54=152,F54=162,F54=510),IF((OR(LEFT(RIGHT(E54,13),1)={"A","D","E","F","G","I","L","N","P","R","S","T","V"})),"Ф",""),"")</f>
        <v/>
      </c>
    </row>
    <row r="55" spans="4:9" x14ac:dyDescent="0.3">
      <c r="D55" s="48" t="str">
        <f>CONCATENATE(УЧРЕЖДЕНИЯ!$A$4)</f>
        <v>Школа</v>
      </c>
      <c r="E55" s="99" t="s">
        <v>351</v>
      </c>
      <c r="F55" s="102">
        <v>226</v>
      </c>
      <c r="G55" s="102">
        <v>244</v>
      </c>
      <c r="H55" s="17" t="s">
        <v>191</v>
      </c>
      <c r="I55" s="100" t="str">
        <f>IF(OR(F55=152,F55=162,F55=510),IF((OR(LEFT(RIGHT(E55,13),1)={"A","D","E","F","G","I","L","N","P","R","S","T","V"})),"Ф",""),"")</f>
        <v/>
      </c>
    </row>
    <row r="56" spans="4:9" x14ac:dyDescent="0.3">
      <c r="D56" s="48" t="str">
        <f>CONCATENATE(УЧРЕЖДЕНИЯ!$A$4)</f>
        <v>Школа</v>
      </c>
      <c r="E56" s="99" t="s">
        <v>351</v>
      </c>
      <c r="F56" s="102">
        <v>227</v>
      </c>
      <c r="G56" s="102">
        <v>244</v>
      </c>
      <c r="H56" s="17" t="s">
        <v>191</v>
      </c>
      <c r="I56" s="100" t="str">
        <f>IF(OR(F56=152,F56=162,F56=510),IF((OR(LEFT(RIGHT(E56,13),1)={"A","D","E","F","G","I","L","N","P","R","S","T","V"})),"Ф",""),"")</f>
        <v/>
      </c>
    </row>
    <row r="57" spans="4:9" x14ac:dyDescent="0.3">
      <c r="D57" s="48" t="str">
        <f>CONCATENATE(УЧРЕЖДЕНИЯ!$A$4)</f>
        <v>Школа</v>
      </c>
      <c r="E57" s="99" t="s">
        <v>351</v>
      </c>
      <c r="F57" s="102">
        <v>296</v>
      </c>
      <c r="G57" s="102">
        <v>244</v>
      </c>
      <c r="H57" s="17" t="s">
        <v>191</v>
      </c>
      <c r="I57" s="100" t="str">
        <f>IF(OR(F57=152,F57=162,F57=510),IF((OR(LEFT(RIGHT(E57,13),1)={"A","D","E","F","G","I","L","N","P","R","S","T","V"})),"Ф",""),"")</f>
        <v/>
      </c>
    </row>
    <row r="58" spans="4:9" x14ac:dyDescent="0.3">
      <c r="D58" s="48" t="str">
        <f>CONCATENATE(УЧРЕЖДЕНИЯ!$A$4)</f>
        <v>Школа</v>
      </c>
      <c r="E58" s="99" t="s">
        <v>351</v>
      </c>
      <c r="F58" s="102">
        <v>310</v>
      </c>
      <c r="G58" s="102">
        <v>244</v>
      </c>
      <c r="H58" s="17" t="s">
        <v>191</v>
      </c>
      <c r="I58" s="100" t="str">
        <f>IF(OR(F58=152,F58=162,F58=510),IF((OR(LEFT(RIGHT(E58,13),1)={"A","D","E","F","G","I","L","N","P","R","S","T","V"})),"Ф",""),"")</f>
        <v/>
      </c>
    </row>
    <row r="59" spans="4:9" x14ac:dyDescent="0.3">
      <c r="D59" s="48" t="str">
        <f>CONCATENATE(УЧРЕЖДЕНИЯ!$A$4)</f>
        <v>Школа</v>
      </c>
      <c r="E59" s="99" t="s">
        <v>352</v>
      </c>
      <c r="F59" s="102">
        <v>2233</v>
      </c>
      <c r="G59" s="102">
        <v>244</v>
      </c>
      <c r="H59" s="17" t="s">
        <v>191</v>
      </c>
      <c r="I59" s="100" t="str">
        <f>IF(OR(F59=152,F59=162,F59=510),IF((OR(LEFT(RIGHT(E59,13),1)={"A","D","E","F","G","I","L","N","P","R","S","T","V"})),"Ф",""),"")</f>
        <v/>
      </c>
    </row>
    <row r="60" spans="4:9" x14ac:dyDescent="0.3">
      <c r="D60" s="48" t="str">
        <f>CONCATENATE(УЧРЕЖДЕНИЯ!$A$4)</f>
        <v>Школа</v>
      </c>
      <c r="E60" s="99" t="s">
        <v>351</v>
      </c>
      <c r="F60" s="102">
        <v>341</v>
      </c>
      <c r="G60" s="102">
        <v>244</v>
      </c>
      <c r="H60" s="17" t="s">
        <v>191</v>
      </c>
      <c r="I60" s="100" t="str">
        <f>IF(OR(F60=152,F60=162,F60=510),IF((OR(LEFT(RIGHT(E60,13),1)={"A","D","E","F","G","I","L","N","P","R","S","T","V"})),"Ф",""),"")</f>
        <v/>
      </c>
    </row>
    <row r="61" spans="4:9" x14ac:dyDescent="0.3">
      <c r="D61" s="48" t="str">
        <f>CONCATENATE(УЧРЕЖДЕНИЯ!$A$4)</f>
        <v>Школа</v>
      </c>
      <c r="E61" s="99" t="s">
        <v>351</v>
      </c>
      <c r="F61" s="102">
        <v>342</v>
      </c>
      <c r="G61" s="102">
        <v>244</v>
      </c>
      <c r="H61" s="17" t="s">
        <v>191</v>
      </c>
      <c r="I61" s="100" t="str">
        <f>IF(OR(F61=152,F61=162,F61=510),IF((OR(LEFT(RIGHT(E61,13),1)={"A","D","E","F","G","I","L","N","P","R","S","T","V"})),"Ф",""),"")</f>
        <v/>
      </c>
    </row>
    <row r="62" spans="4:9" x14ac:dyDescent="0.3">
      <c r="D62" s="48" t="str">
        <f>CONCATENATE(УЧРЕЖДЕНИЯ!$A$4)</f>
        <v>Школа</v>
      </c>
      <c r="E62" s="99" t="s">
        <v>351</v>
      </c>
      <c r="F62" s="102">
        <v>343</v>
      </c>
      <c r="G62" s="102">
        <v>244</v>
      </c>
      <c r="H62" s="17" t="s">
        <v>191</v>
      </c>
      <c r="I62" s="100" t="str">
        <f>IF(OR(F62=152,F62=162,F62=510),IF((OR(LEFT(RIGHT(E62,13),1)={"A","D","E","F","G","I","L","N","P","R","S","T","V"})),"Ф",""),"")</f>
        <v/>
      </c>
    </row>
    <row r="63" spans="4:9" x14ac:dyDescent="0.3">
      <c r="D63" s="48" t="str">
        <f>CONCATENATE(УЧРЕЖДЕНИЯ!$A$4)</f>
        <v>Школа</v>
      </c>
      <c r="E63" s="99" t="s">
        <v>351</v>
      </c>
      <c r="F63" s="102">
        <v>346</v>
      </c>
      <c r="G63" s="102">
        <v>244</v>
      </c>
      <c r="H63" s="17" t="s">
        <v>191</v>
      </c>
      <c r="I63" s="100" t="str">
        <f>IF(OR(F63=152,F63=162,F63=510),IF((OR(LEFT(RIGHT(E63,13),1)={"A","D","E","F","G","I","L","N","P","R","S","T","V"})),"Ф",""),"")</f>
        <v/>
      </c>
    </row>
    <row r="64" spans="4:9" x14ac:dyDescent="0.3">
      <c r="D64" s="48" t="str">
        <f>CONCATENATE(УЧРЕЖДЕНИЯ!$A$4)</f>
        <v>Школа</v>
      </c>
      <c r="E64" s="99" t="s">
        <v>351</v>
      </c>
      <c r="F64" s="102">
        <v>349</v>
      </c>
      <c r="G64" s="102">
        <v>244</v>
      </c>
      <c r="H64" s="17" t="s">
        <v>191</v>
      </c>
      <c r="I64" s="100" t="str">
        <f>IF(OR(F64=152,F64=162,F64=510),IF((OR(LEFT(RIGHT(E64,13),1)={"A","D","E","F","G","I","L","N","P","R","S","T","V"})),"Ф",""),"")</f>
        <v/>
      </c>
    </row>
    <row r="65" spans="4:9" x14ac:dyDescent="0.3">
      <c r="D65" s="48" t="str">
        <f>CONCATENATE(УЧРЕЖДЕНИЯ!$A$4)</f>
        <v>Школа</v>
      </c>
      <c r="E65" s="99" t="s">
        <v>695</v>
      </c>
      <c r="F65" s="102">
        <v>2232</v>
      </c>
      <c r="G65" s="102">
        <v>247</v>
      </c>
      <c r="H65" s="17" t="s">
        <v>191</v>
      </c>
      <c r="I65" s="100" t="str">
        <f>IF(OR(F65=152,F65=162,F65=510),IF((OR(LEFT(RIGHT(E65,13),1)={"A","D","E","F","G","I","L","N","P","R","S","T","V"})),"Ф",""),"")</f>
        <v/>
      </c>
    </row>
    <row r="66" spans="4:9" x14ac:dyDescent="0.3">
      <c r="D66" s="48" t="str">
        <f>CONCATENATE(УЧРЕЖДЕНИЯ!$A$4)</f>
        <v>Школа</v>
      </c>
      <c r="E66" s="99" t="s">
        <v>683</v>
      </c>
      <c r="F66" s="102">
        <v>2231</v>
      </c>
      <c r="G66" s="102">
        <v>247</v>
      </c>
      <c r="H66" s="17" t="s">
        <v>191</v>
      </c>
      <c r="I66" s="100" t="str">
        <f>IF(OR(F66=152,F66=162,F66=510),IF((OR(LEFT(RIGHT(E66,13),1)={"A","D","E","F","G","I","L","N","P","R","S","T","V"})),"Ф",""),"")</f>
        <v/>
      </c>
    </row>
    <row r="67" spans="4:9" x14ac:dyDescent="0.3">
      <c r="D67" s="48" t="str">
        <f>CONCATENATE(УЧРЕЖДЕНИЯ!$A$4)</f>
        <v>Школа</v>
      </c>
      <c r="E67" s="99" t="s">
        <v>353</v>
      </c>
      <c r="F67" s="102">
        <v>262</v>
      </c>
      <c r="G67" s="102">
        <v>360</v>
      </c>
      <c r="H67" s="17" t="s">
        <v>191</v>
      </c>
      <c r="I67" s="100" t="str">
        <f>IF(OR(F67=152,F67=162,F67=510),IF((OR(LEFT(RIGHT(E67,13),1)={"A","D","E","F","G","I","L","N","P","R","S","T","V"})),"Ф",""),"")</f>
        <v/>
      </c>
    </row>
    <row r="68" spans="4:9" x14ac:dyDescent="0.3">
      <c r="D68" s="48" t="str">
        <f>CONCATENATE(УЧРЕЖДЕНИЯ!$A$4)</f>
        <v>Школа</v>
      </c>
      <c r="E68" s="99" t="s">
        <v>367</v>
      </c>
      <c r="F68" s="100">
        <v>510</v>
      </c>
      <c r="G68" s="100">
        <v>510</v>
      </c>
      <c r="H68" s="17" t="s">
        <v>191</v>
      </c>
      <c r="I68" s="100" t="str">
        <f>IF(OR(F68=152,F68=162,F68=510),IF((OR(LEFT(RIGHT(E68,13),1)={"A","D","E","F","G","I","L","N","P","R","S","T","V"})),"Ф",""),"")</f>
        <v/>
      </c>
    </row>
    <row r="69" spans="4:9" x14ac:dyDescent="0.3">
      <c r="D69" s="48" t="str">
        <f>CONCATENATE(УЧРЕЖДЕНИЯ!$A$4)</f>
        <v>Школа</v>
      </c>
      <c r="E69" s="99" t="s">
        <v>354</v>
      </c>
      <c r="F69" s="102">
        <v>291</v>
      </c>
      <c r="G69" s="102">
        <v>851</v>
      </c>
      <c r="H69" s="17" t="s">
        <v>191</v>
      </c>
      <c r="I69" s="100" t="str">
        <f>IF(OR(F69=152,F69=162,F69=510),IF((OR(LEFT(RIGHT(E69,13),1)={"A","D","E","F","G","I","L","N","P","R","S","T","V"})),"Ф",""),"")</f>
        <v/>
      </c>
    </row>
    <row r="70" spans="4:9" x14ac:dyDescent="0.3">
      <c r="D70" s="48" t="str">
        <f>CONCATENATE(УЧРЕЖДЕНИЯ!$A$4)</f>
        <v>Школа</v>
      </c>
      <c r="E70" s="99" t="s">
        <v>355</v>
      </c>
      <c r="F70" s="102">
        <v>291</v>
      </c>
      <c r="G70" s="102">
        <v>852</v>
      </c>
      <c r="H70" s="17" t="s">
        <v>191</v>
      </c>
      <c r="I70" s="100" t="str">
        <f>IF(OR(F70=152,F70=162,F70=510),IF((OR(LEFT(RIGHT(E70,13),1)={"A","D","E","F","G","I","L","N","P","R","S","T","V"})),"Ф",""),"")</f>
        <v/>
      </c>
    </row>
    <row r="71" spans="4:9" x14ac:dyDescent="0.3">
      <c r="D71" s="48" t="str">
        <f>CONCATENATE(УЧРЕЖДЕНИЯ!$A$4)</f>
        <v>Школа</v>
      </c>
      <c r="E71" s="99" t="s">
        <v>356</v>
      </c>
      <c r="F71" s="102">
        <v>292</v>
      </c>
      <c r="G71" s="102">
        <v>853</v>
      </c>
      <c r="H71" s="17" t="s">
        <v>191</v>
      </c>
      <c r="I71" s="100" t="str">
        <f>IF(OR(F71=152,F71=162,F71=510),IF((OR(LEFT(RIGHT(E71,13),1)={"A","D","E","F","G","I","L","N","P","R","S","T","V"})),"Ф",""),"")</f>
        <v/>
      </c>
    </row>
    <row r="72" spans="4:9" x14ac:dyDescent="0.3">
      <c r="D72" s="48" t="str">
        <f>CONCATENATE(УЧРЕЖДЕНИЯ!$A$4)</f>
        <v>Школа</v>
      </c>
      <c r="E72" s="99" t="s">
        <v>360</v>
      </c>
      <c r="F72" s="100">
        <v>510</v>
      </c>
      <c r="G72" s="102">
        <v>510</v>
      </c>
      <c r="H72" s="17" t="s">
        <v>191</v>
      </c>
      <c r="I72" s="100" t="str">
        <f>IF(OR(F72=152,F72=162,F72=510),IF((OR(LEFT(RIGHT(E72,13),1)={"A","D","E","F","G","I","L","N","P","R","S","T","V"})),"Ф",""),"")</f>
        <v/>
      </c>
    </row>
    <row r="73" spans="4:9" x14ac:dyDescent="0.3">
      <c r="D73" s="48" t="str">
        <f>CONCATENATE(УЧРЕЖДЕНИЯ!$A$4)</f>
        <v>Школа</v>
      </c>
      <c r="E73" s="99" t="s">
        <v>361</v>
      </c>
      <c r="F73" s="100">
        <v>6101</v>
      </c>
      <c r="G73" s="100">
        <v>610</v>
      </c>
      <c r="H73" s="17" t="s">
        <v>191</v>
      </c>
      <c r="I73" s="100" t="str">
        <f>IF(OR(F73=152,F73=162,F73=510),IF((OR(LEFT(RIGHT(E73,13),1)={"A","D","E","F","G","I","L","N","P","R","S","T","V"})),"Ф",""),"")</f>
        <v/>
      </c>
    </row>
    <row r="74" spans="4:9" x14ac:dyDescent="0.3">
      <c r="D74" s="48" t="str">
        <f>CONCATENATE(УЧРЕЖДЕНИЯ!$A$4)</f>
        <v>Школа</v>
      </c>
      <c r="E74" s="99" t="s">
        <v>363</v>
      </c>
      <c r="F74" s="100">
        <v>155</v>
      </c>
      <c r="G74" s="100">
        <v>150</v>
      </c>
      <c r="H74" s="17" t="s">
        <v>191</v>
      </c>
      <c r="I74" s="100" t="str">
        <f>IF(OR(F74=152,F74=162,F74=510),IF((OR(LEFT(RIGHT(E74,13),1)={"A","D","E","F","G","I","L","N","P","R","S","T","V"})),"Ф",""),"")</f>
        <v/>
      </c>
    </row>
    <row r="75" spans="4:9" x14ac:dyDescent="0.3">
      <c r="D75" s="48" t="str">
        <f>CONCATENATE(УЧРЕЖДЕНИЯ!$A$4)</f>
        <v>Школа</v>
      </c>
      <c r="E75" s="99" t="s">
        <v>364</v>
      </c>
      <c r="F75" s="100">
        <v>225</v>
      </c>
      <c r="G75" s="100">
        <v>244</v>
      </c>
      <c r="H75" s="17" t="s">
        <v>191</v>
      </c>
      <c r="I75" s="100" t="str">
        <f>IF(OR(F75=152,F75=162,F75=510),IF((OR(LEFT(RIGHT(E75,13),1)={"A","D","E","F","G","I","L","N","P","R","S","T","V"})),"Ф",""),"")</f>
        <v/>
      </c>
    </row>
    <row r="76" spans="4:9" x14ac:dyDescent="0.3">
      <c r="D76" s="48" t="str">
        <f>CONCATENATE(УЧРЕЖДЕНИЯ!$A$4)</f>
        <v>Школа</v>
      </c>
      <c r="E76" s="99" t="s">
        <v>364</v>
      </c>
      <c r="F76" s="100">
        <v>226</v>
      </c>
      <c r="G76" s="100">
        <v>244</v>
      </c>
      <c r="H76" s="17" t="s">
        <v>191</v>
      </c>
      <c r="I76" s="100" t="str">
        <f>IF(OR(F76=152,F76=162,F76=510),IF((OR(LEFT(RIGHT(E76,13),1)={"A","D","E","F","G","I","L","N","P","R","S","T","V"})),"Ф",""),"")</f>
        <v/>
      </c>
    </row>
    <row r="77" spans="4:9" x14ac:dyDescent="0.3">
      <c r="D77" s="48" t="str">
        <f>CONCATENATE(УЧРЕЖДЕНИЯ!$A$4)</f>
        <v>Школа</v>
      </c>
      <c r="E77" s="99" t="s">
        <v>364</v>
      </c>
      <c r="F77" s="100">
        <v>310</v>
      </c>
      <c r="G77" s="100">
        <v>244</v>
      </c>
      <c r="H77" s="17" t="s">
        <v>191</v>
      </c>
      <c r="I77" s="100" t="str">
        <f>IF(OR(F77=152,F77=162,F77=510),IF((OR(LEFT(RIGHT(E77,13),1)={"A","D","E","F","G","I","L","N","P","R","S","T","V"})),"Ф",""),"")</f>
        <v/>
      </c>
    </row>
    <row r="78" spans="4:9" x14ac:dyDescent="0.3">
      <c r="D78" s="48" t="str">
        <f>CONCATENATE(УЧРЕЖДЕНИЯ!$A$4)</f>
        <v>Школа</v>
      </c>
      <c r="E78" s="99" t="s">
        <v>364</v>
      </c>
      <c r="F78" s="100">
        <v>345</v>
      </c>
      <c r="G78" s="100">
        <v>244</v>
      </c>
      <c r="H78" s="17" t="s">
        <v>191</v>
      </c>
      <c r="I78" s="100" t="str">
        <f>IF(OR(F78=152,F78=162,F78=510),IF((OR(LEFT(RIGHT(E78,13),1)={"A","D","E","F","G","I","L","N","P","R","S","T","V"})),"Ф",""),"")</f>
        <v/>
      </c>
    </row>
    <row r="79" spans="4:9" x14ac:dyDescent="0.3">
      <c r="D79" s="48" t="str">
        <f>CONCATENATE(УЧРЕЖДЕНИЯ!$A$4)</f>
        <v>Школа</v>
      </c>
      <c r="E79" s="99" t="s">
        <v>364</v>
      </c>
      <c r="F79" s="100">
        <v>346</v>
      </c>
      <c r="G79" s="100">
        <v>244</v>
      </c>
      <c r="H79" s="17" t="s">
        <v>191</v>
      </c>
      <c r="I79" s="100" t="str">
        <f>IF(OR(F79=152,F79=162,F79=510),IF((OR(LEFT(RIGHT(E79,13),1)={"A","D","E","F","G","I","L","N","P","R","S","T","V"})),"Ф",""),"")</f>
        <v/>
      </c>
    </row>
    <row r="80" spans="4:9" x14ac:dyDescent="0.3">
      <c r="D80" s="48" t="str">
        <f>CONCATENATE(УЧРЕЖДЕНИЯ!$A$4)</f>
        <v>Школа</v>
      </c>
      <c r="E80" s="99" t="s">
        <v>362</v>
      </c>
      <c r="F80" s="100">
        <v>510</v>
      </c>
      <c r="G80" s="102">
        <v>510</v>
      </c>
      <c r="H80" s="17" t="s">
        <v>191</v>
      </c>
      <c r="I80" s="100" t="str">
        <f>IF(OR(F80=152,F80=162,F80=510),IF((OR(LEFT(RIGHT(E80,13),1)={"A","D","E","F","G","I","L","N","P","R","S","T","V"})),"Ф",""),"")</f>
        <v/>
      </c>
    </row>
    <row r="81" spans="2:9" x14ac:dyDescent="0.3">
      <c r="B81" s="48" t="s">
        <v>735</v>
      </c>
      <c r="C81" s="48" t="s">
        <v>738</v>
      </c>
      <c r="D81" s="48" t="str">
        <f>CONCATENATE(УЧРЕЖДЕНИЯ!$A$5)</f>
        <v>Допобр</v>
      </c>
      <c r="E81" s="99" t="s">
        <v>347</v>
      </c>
      <c r="F81" s="102">
        <v>131</v>
      </c>
      <c r="G81" s="102">
        <v>130</v>
      </c>
      <c r="H81" s="17" t="s">
        <v>192</v>
      </c>
      <c r="I81" s="100" t="str">
        <f>IF(OR(F81=152,F81=162,F81=510),IF((OR(LEFT(RIGHT(E81,13),1)={"A","D","E","F","G","I","L","N","P","R","S","T","V"})),"Ф",""),"")</f>
        <v/>
      </c>
    </row>
    <row r="82" spans="2:9" x14ac:dyDescent="0.3">
      <c r="D82" s="48" t="str">
        <f>CONCATENATE(УЧРЕЖДЕНИЯ!$A$5)</f>
        <v>Допобр</v>
      </c>
      <c r="E82" s="99" t="s">
        <v>348</v>
      </c>
      <c r="F82" s="102">
        <v>211</v>
      </c>
      <c r="G82" s="102">
        <v>111</v>
      </c>
      <c r="H82" s="17" t="s">
        <v>192</v>
      </c>
      <c r="I82" s="100" t="str">
        <f>IF(OR(F82=152,F82=162,F82=510),IF((OR(LEFT(RIGHT(E82,13),1)={"A","D","E","F","G","I","L","N","P","R","S","T","V"})),"Ф",""),"")</f>
        <v/>
      </c>
    </row>
    <row r="83" spans="2:9" x14ac:dyDescent="0.3">
      <c r="D83" s="48" t="str">
        <f>CONCATENATE(УЧРЕЖДЕНИЯ!$A$5)</f>
        <v>Допобр</v>
      </c>
      <c r="E83" s="99" t="s">
        <v>349</v>
      </c>
      <c r="F83" s="102">
        <v>212</v>
      </c>
      <c r="G83" s="102">
        <v>112</v>
      </c>
      <c r="H83" s="17" t="s">
        <v>192</v>
      </c>
      <c r="I83" s="100" t="str">
        <f>IF(OR(F83=152,F83=162,F83=510),IF((OR(LEFT(RIGHT(E83,13),1)={"A","D","E","F","G","I","L","N","P","R","S","T","V"})),"Ф",""),"")</f>
        <v/>
      </c>
    </row>
    <row r="84" spans="2:9" x14ac:dyDescent="0.3">
      <c r="D84" s="48" t="str">
        <f>CONCATENATE(УЧРЕЖДЕНИЯ!$A$5)</f>
        <v>Допобр</v>
      </c>
      <c r="E84" s="99" t="s">
        <v>350</v>
      </c>
      <c r="F84" s="102">
        <v>213</v>
      </c>
      <c r="G84" s="102">
        <v>119</v>
      </c>
      <c r="H84" s="17" t="s">
        <v>192</v>
      </c>
      <c r="I84" s="100" t="str">
        <f>IF(OR(F84=152,F84=162,F84=510),IF((OR(LEFT(RIGHT(E84,13),1)={"A","D","E","F","G","I","L","N","P","R","S","T","V"})),"Ф",""),"")</f>
        <v/>
      </c>
    </row>
    <row r="85" spans="2:9" x14ac:dyDescent="0.3">
      <c r="D85" s="48" t="str">
        <f>CONCATENATE(УЧРЕЖДЕНИЯ!$A$5)</f>
        <v>Допобр</v>
      </c>
      <c r="E85" s="99" t="s">
        <v>351</v>
      </c>
      <c r="F85" s="102">
        <v>221</v>
      </c>
      <c r="G85" s="102">
        <v>244</v>
      </c>
      <c r="H85" s="17" t="s">
        <v>192</v>
      </c>
      <c r="I85" s="100" t="str">
        <f>IF(OR(F85=152,F85=162,F85=510),IF((OR(LEFT(RIGHT(E85,13),1)={"A","D","E","F","G","I","L","N","P","R","S","T","V"})),"Ф",""),"")</f>
        <v/>
      </c>
    </row>
    <row r="86" spans="2:9" x14ac:dyDescent="0.3">
      <c r="D86" s="48" t="str">
        <f>CONCATENATE(УЧРЕЖДЕНИЯ!$A$5)</f>
        <v>Допобр</v>
      </c>
      <c r="E86" s="99" t="s">
        <v>351</v>
      </c>
      <c r="F86" s="102">
        <v>222</v>
      </c>
      <c r="G86" s="102">
        <v>244</v>
      </c>
      <c r="H86" s="17" t="s">
        <v>192</v>
      </c>
      <c r="I86" s="100" t="str">
        <f>IF(OR(F86=152,F86=162,F86=510),IF((OR(LEFT(RIGHT(E86,13),1)={"A","D","E","F","G","I","L","N","P","R","S","T","V"})),"Ф",""),"")</f>
        <v/>
      </c>
    </row>
    <row r="87" spans="2:9" x14ac:dyDescent="0.3">
      <c r="D87" s="48" t="str">
        <f>CONCATENATE(УЧРЕЖДЕНИЯ!$A$5)</f>
        <v>Допобр</v>
      </c>
      <c r="E87" s="99" t="s">
        <v>352</v>
      </c>
      <c r="F87" s="102">
        <v>2233</v>
      </c>
      <c r="G87" s="102">
        <v>244</v>
      </c>
      <c r="H87" s="17" t="s">
        <v>192</v>
      </c>
      <c r="I87" s="100" t="str">
        <f>IF(OR(F87=152,F87=162,F87=510),IF((OR(LEFT(RIGHT(E87,13),1)={"A","D","E","F","G","I","L","N","P","R","S","T","V"})),"Ф",""),"")</f>
        <v/>
      </c>
    </row>
    <row r="88" spans="2:9" x14ac:dyDescent="0.3">
      <c r="D88" s="48" t="str">
        <f>CONCATENATE(УЧРЕЖДЕНИЯ!$A$5)</f>
        <v>Допобр</v>
      </c>
      <c r="E88" s="99" t="s">
        <v>351</v>
      </c>
      <c r="F88" s="102">
        <v>224</v>
      </c>
      <c r="G88" s="102">
        <v>244</v>
      </c>
      <c r="H88" s="17" t="s">
        <v>192</v>
      </c>
      <c r="I88" s="100" t="str">
        <f>IF(OR(F88=152,F88=162,F88=510),IF((OR(LEFT(RIGHT(E88,13),1)={"A","D","E","F","G","I","L","N","P","R","S","T","V"})),"Ф",""),"")</f>
        <v/>
      </c>
    </row>
    <row r="89" spans="2:9" x14ac:dyDescent="0.3">
      <c r="D89" s="48" t="str">
        <f>CONCATENATE(УЧРЕЖДЕНИЯ!$A$5)</f>
        <v>Допобр</v>
      </c>
      <c r="E89" s="99" t="s">
        <v>351</v>
      </c>
      <c r="F89" s="102">
        <v>225</v>
      </c>
      <c r="G89" s="102">
        <v>244</v>
      </c>
      <c r="H89" s="17" t="s">
        <v>192</v>
      </c>
      <c r="I89" s="100" t="str">
        <f>IF(OR(F89=152,F89=162,F89=510),IF((OR(LEFT(RIGHT(E89,13),1)={"A","D","E","F","G","I","L","N","P","R","S","T","V"})),"Ф",""),"")</f>
        <v/>
      </c>
    </row>
    <row r="90" spans="2:9" x14ac:dyDescent="0.3">
      <c r="D90" s="48" t="str">
        <f>CONCATENATE(УЧРЕЖДЕНИЯ!$A$5)</f>
        <v>Допобр</v>
      </c>
      <c r="E90" s="99" t="s">
        <v>351</v>
      </c>
      <c r="F90" s="102">
        <v>226</v>
      </c>
      <c r="G90" s="102">
        <v>244</v>
      </c>
      <c r="H90" s="17" t="s">
        <v>192</v>
      </c>
      <c r="I90" s="100" t="str">
        <f>IF(OR(F90=152,F90=162,F90=510),IF((OR(LEFT(RIGHT(E90,13),1)={"A","D","E","F","G","I","L","N","P","R","S","T","V"})),"Ф",""),"")</f>
        <v/>
      </c>
    </row>
    <row r="91" spans="2:9" x14ac:dyDescent="0.3">
      <c r="D91" s="48" t="str">
        <f>CONCATENATE(УЧРЕЖДЕНИЯ!$A$5)</f>
        <v>Допобр</v>
      </c>
      <c r="E91" s="99" t="s">
        <v>351</v>
      </c>
      <c r="F91" s="102">
        <v>296</v>
      </c>
      <c r="G91" s="102">
        <v>244</v>
      </c>
      <c r="H91" s="17" t="s">
        <v>192</v>
      </c>
      <c r="I91" s="100" t="str">
        <f>IF(OR(F91=152,F91=162,F91=510),IF((OR(LEFT(RIGHT(E91,13),1)={"A","D","E","F","G","I","L","N","P","R","S","T","V"})),"Ф",""),"")</f>
        <v/>
      </c>
    </row>
    <row r="92" spans="2:9" x14ac:dyDescent="0.3">
      <c r="D92" s="48" t="str">
        <f>CONCATENATE(УЧРЕЖДЕНИЯ!$A$5)</f>
        <v>Допобр</v>
      </c>
      <c r="E92" s="99" t="s">
        <v>351</v>
      </c>
      <c r="F92" s="102">
        <v>310</v>
      </c>
      <c r="G92" s="102">
        <v>244</v>
      </c>
      <c r="H92" s="17" t="s">
        <v>192</v>
      </c>
      <c r="I92" s="100" t="str">
        <f>IF(OR(F92=152,F92=162,F92=510),IF((OR(LEFT(RIGHT(E92,13),1)={"A","D","E","F","G","I","L","N","P","R","S","T","V"})),"Ф",""),"")</f>
        <v/>
      </c>
    </row>
    <row r="93" spans="2:9" x14ac:dyDescent="0.3">
      <c r="D93" s="48" t="str">
        <f>CONCATENATE(УЧРЕЖДЕНИЯ!$A$5)</f>
        <v>Допобр</v>
      </c>
      <c r="E93" s="99" t="s">
        <v>351</v>
      </c>
      <c r="F93" s="102">
        <v>346</v>
      </c>
      <c r="G93" s="102">
        <v>244</v>
      </c>
      <c r="H93" s="17" t="s">
        <v>192</v>
      </c>
      <c r="I93" s="100" t="str">
        <f>IF(OR(F93=152,F93=162,F93=510),IF((OR(LEFT(RIGHT(E93,13),1)={"A","D","E","F","G","I","L","N","P","R","S","T","V"})),"Ф",""),"")</f>
        <v/>
      </c>
    </row>
    <row r="94" spans="2:9" x14ac:dyDescent="0.3">
      <c r="D94" s="48" t="str">
        <f>CONCATENATE(УЧРЕЖДЕНИЯ!$A$5)</f>
        <v>Допобр</v>
      </c>
      <c r="E94" s="99" t="s">
        <v>683</v>
      </c>
      <c r="F94" s="102">
        <v>2231</v>
      </c>
      <c r="G94" s="102">
        <v>247</v>
      </c>
      <c r="H94" s="17" t="s">
        <v>192</v>
      </c>
      <c r="I94" s="100" t="str">
        <f>IF(OR(F94=152,F94=162,F94=510),IF((OR(LEFT(RIGHT(E94,13),1)={"A","D","E","F","G","I","L","N","P","R","S","T","V"})),"Ф",""),"")</f>
        <v/>
      </c>
    </row>
    <row r="95" spans="2:9" x14ac:dyDescent="0.3">
      <c r="D95" s="48" t="str">
        <f>CONCATENATE(УЧРЕЖДЕНИЯ!$A$5)</f>
        <v>Допобр</v>
      </c>
      <c r="E95" s="99" t="s">
        <v>695</v>
      </c>
      <c r="F95" s="102">
        <v>2232</v>
      </c>
      <c r="G95" s="102">
        <v>247</v>
      </c>
      <c r="H95" s="17" t="s">
        <v>192</v>
      </c>
      <c r="I95" s="100" t="str">
        <f>IF(OR(F95=152,F95=162,F95=510),IF((OR(LEFT(RIGHT(E95,13),1)={"A","D","E","F","G","I","L","N","P","R","S","T","V"})),"Ф",""),"")</f>
        <v/>
      </c>
    </row>
    <row r="96" spans="2:9" x14ac:dyDescent="0.3">
      <c r="D96" s="48" t="str">
        <f>CONCATENATE(УЧРЕЖДЕНИЯ!$A$5)</f>
        <v>Допобр</v>
      </c>
      <c r="E96" s="99" t="s">
        <v>353</v>
      </c>
      <c r="F96" s="102">
        <v>262</v>
      </c>
      <c r="G96" s="102">
        <v>360</v>
      </c>
      <c r="H96" s="17" t="s">
        <v>192</v>
      </c>
      <c r="I96" s="100" t="str">
        <f>IF(OR(F96=152,F96=162,F96=510),IF((OR(LEFT(RIGHT(E96,13),1)={"A","D","E","F","G","I","L","N","P","R","S","T","V"})),"Ф",""),"")</f>
        <v/>
      </c>
    </row>
    <row r="97" spans="2:9" x14ac:dyDescent="0.3">
      <c r="D97" s="48" t="str">
        <f>CONCATENATE(УЧРЕЖДЕНИЯ!$A$5)</f>
        <v>Допобр</v>
      </c>
      <c r="E97" s="99" t="s">
        <v>346</v>
      </c>
      <c r="F97" s="102">
        <v>510</v>
      </c>
      <c r="G97" s="102">
        <v>510</v>
      </c>
      <c r="H97" s="17" t="s">
        <v>192</v>
      </c>
      <c r="I97" s="100" t="str">
        <f>IF(OR(F97=152,F97=162,F97=510),IF((OR(LEFT(RIGHT(E97,13),1)={"A","D","E","F","G","I","L","N","P","R","S","T","V"})),"Ф",""),"")</f>
        <v/>
      </c>
    </row>
    <row r="98" spans="2:9" x14ac:dyDescent="0.3">
      <c r="D98" s="48" t="str">
        <f>CONCATENATE(УЧРЕЖДЕНИЯ!$A$5)</f>
        <v>Допобр</v>
      </c>
      <c r="E98" s="99" t="s">
        <v>354</v>
      </c>
      <c r="F98" s="102">
        <v>291</v>
      </c>
      <c r="G98" s="102">
        <v>851</v>
      </c>
      <c r="H98" s="17" t="s">
        <v>192</v>
      </c>
      <c r="I98" s="100" t="str">
        <f>IF(OR(F98=152,F98=162,F98=510),IF((OR(LEFT(RIGHT(E98,13),1)={"A","D","E","F","G","I","L","N","P","R","S","T","V"})),"Ф",""),"")</f>
        <v/>
      </c>
    </row>
    <row r="99" spans="2:9" x14ac:dyDescent="0.3">
      <c r="D99" s="48" t="str">
        <f>CONCATENATE(УЧРЕЖДЕНИЯ!$A$5)</f>
        <v>Допобр</v>
      </c>
      <c r="E99" s="99" t="s">
        <v>356</v>
      </c>
      <c r="F99" s="102">
        <v>292</v>
      </c>
      <c r="G99" s="102">
        <v>853</v>
      </c>
      <c r="H99" s="17" t="s">
        <v>192</v>
      </c>
      <c r="I99" s="100" t="str">
        <f>IF(OR(F99=152,F99=162,F99=510),IF((OR(LEFT(RIGHT(E99,13),1)={"A","D","E","F","G","I","L","N","P","R","S","T","V"})),"Ф",""),"")</f>
        <v/>
      </c>
    </row>
    <row r="100" spans="2:9" x14ac:dyDescent="0.3">
      <c r="D100" s="48" t="str">
        <f>CONCATENATE(УЧРЕЖДЕНИЯ!$A$5)</f>
        <v>Допобр</v>
      </c>
      <c r="E100" s="99" t="s">
        <v>360</v>
      </c>
      <c r="F100" s="100">
        <v>510</v>
      </c>
      <c r="G100" s="102">
        <v>510</v>
      </c>
      <c r="H100" s="17" t="s">
        <v>192</v>
      </c>
      <c r="I100" s="100" t="str">
        <f>IF(OR(F100=152,F100=162,F100=510),IF((OR(LEFT(RIGHT(E100,13),1)={"A","D","E","F","G","I","L","N","P","R","S","T","V"})),"Ф",""),"")</f>
        <v/>
      </c>
    </row>
    <row r="101" spans="2:9" x14ac:dyDescent="0.3">
      <c r="D101" s="48" t="str">
        <f>CONCATENATE(УЧРЕЖДЕНИЯ!$A$5)</f>
        <v>Допобр</v>
      </c>
      <c r="E101" s="99" t="s">
        <v>361</v>
      </c>
      <c r="F101" s="100">
        <v>6101</v>
      </c>
      <c r="G101" s="100">
        <v>610</v>
      </c>
      <c r="H101" s="17" t="s">
        <v>192</v>
      </c>
      <c r="I101" s="100" t="str">
        <f>IF(OR(F101=152,F101=162,F101=510),IF((OR(LEFT(RIGHT(E101,13),1)={"A","D","E","F","G","I","L","N","P","R","S","T","V"})),"Ф",""),"")</f>
        <v/>
      </c>
    </row>
    <row r="102" spans="2:9" x14ac:dyDescent="0.3">
      <c r="D102" s="48" t="str">
        <f>CONCATENATE(УЧРЕЖДЕНИЯ!$A$5)</f>
        <v>Допобр</v>
      </c>
      <c r="E102" s="99" t="s">
        <v>363</v>
      </c>
      <c r="F102" s="100">
        <v>155</v>
      </c>
      <c r="G102" s="100">
        <v>150</v>
      </c>
      <c r="H102" s="17" t="s">
        <v>192</v>
      </c>
      <c r="I102" s="100" t="str">
        <f>IF(OR(F102=152,F102=162,F102=510),IF((OR(LEFT(RIGHT(E102,13),1)={"A","D","E","F","G","I","L","N","P","R","S","T","V"})),"Ф",""),"")</f>
        <v/>
      </c>
    </row>
    <row r="103" spans="2:9" x14ac:dyDescent="0.3">
      <c r="D103" s="48" t="str">
        <f>CONCATENATE(УЧРЕЖДЕНИЯ!$A$5)</f>
        <v>Допобр</v>
      </c>
      <c r="E103" s="99" t="s">
        <v>364</v>
      </c>
      <c r="F103" s="100">
        <v>225</v>
      </c>
      <c r="G103" s="100">
        <v>244</v>
      </c>
      <c r="H103" s="17" t="s">
        <v>192</v>
      </c>
      <c r="I103" s="100" t="str">
        <f>IF(OR(F103=152,F103=162,F103=510),IF((OR(LEFT(RIGHT(E103,13),1)={"A","D","E","F","G","I","L","N","P","R","S","T","V"})),"Ф",""),"")</f>
        <v/>
      </c>
    </row>
    <row r="104" spans="2:9" x14ac:dyDescent="0.3">
      <c r="D104" s="48" t="str">
        <f>CONCATENATE(УЧРЕЖДЕНИЯ!$A$5)</f>
        <v>Допобр</v>
      </c>
      <c r="E104" s="99" t="s">
        <v>364</v>
      </c>
      <c r="F104" s="100">
        <v>226</v>
      </c>
      <c r="G104" s="100">
        <v>244</v>
      </c>
      <c r="H104" s="17" t="s">
        <v>192</v>
      </c>
      <c r="I104" s="100" t="str">
        <f>IF(OR(F104=152,F104=162,F104=510),IF((OR(LEFT(RIGHT(E104,13),1)={"A","D","E","F","G","I","L","N","P","R","S","T","V"})),"Ф",""),"")</f>
        <v/>
      </c>
    </row>
    <row r="105" spans="2:9" x14ac:dyDescent="0.3">
      <c r="D105" s="48" t="str">
        <f>CONCATENATE(УЧРЕЖДЕНИЯ!$A$5)</f>
        <v>Допобр</v>
      </c>
      <c r="E105" s="99" t="s">
        <v>364</v>
      </c>
      <c r="F105" s="100">
        <v>310</v>
      </c>
      <c r="G105" s="100">
        <v>244</v>
      </c>
      <c r="H105" s="17" t="s">
        <v>192</v>
      </c>
      <c r="I105" s="100" t="str">
        <f>IF(OR(F105=152,F105=162,F105=510),IF((OR(LEFT(RIGHT(E105,13),1)={"A","D","E","F","G","I","L","N","P","R","S","T","V"})),"Ф",""),"")</f>
        <v/>
      </c>
    </row>
    <row r="106" spans="2:9" x14ac:dyDescent="0.3">
      <c r="D106" s="48" t="str">
        <f>CONCATENATE(УЧРЕЖДЕНИЯ!$A$5)</f>
        <v>Допобр</v>
      </c>
      <c r="E106" s="99" t="s">
        <v>364</v>
      </c>
      <c r="F106" s="100">
        <v>346</v>
      </c>
      <c r="G106" s="100">
        <v>244</v>
      </c>
      <c r="H106" s="17" t="s">
        <v>192</v>
      </c>
      <c r="I106" s="100" t="str">
        <f>IF(OR(F106=152,F106=162,F106=510),IF((OR(LEFT(RIGHT(E106,13),1)={"A","D","E","F","G","I","L","N","P","R","S","T","V"})),"Ф",""),"")</f>
        <v/>
      </c>
    </row>
    <row r="107" spans="2:9" x14ac:dyDescent="0.3">
      <c r="D107" s="48" t="str">
        <f>CONCATENATE(УЧРЕЖДЕНИЯ!$A$5)</f>
        <v>Допобр</v>
      </c>
      <c r="E107" s="99" t="s">
        <v>362</v>
      </c>
      <c r="F107" s="100">
        <v>510</v>
      </c>
      <c r="G107" s="102">
        <v>510</v>
      </c>
      <c r="H107" s="17" t="s">
        <v>192</v>
      </c>
      <c r="I107" s="100" t="str">
        <f>IF(OR(F107=152,F107=162,F107=510),IF((OR(LEFT(RIGHT(E107,13),1)={"A","D","E","F","G","I","L","N","P","R","S","T","V"})),"Ф",""),"")</f>
        <v/>
      </c>
    </row>
    <row r="108" spans="2:9" x14ac:dyDescent="0.3">
      <c r="B108" s="48" t="s">
        <v>735</v>
      </c>
      <c r="C108" s="48" t="s">
        <v>137</v>
      </c>
      <c r="D108" s="48" t="str">
        <f>CONCATENATE(УЧРЕЖДЕНИЯ!$A$6)</f>
        <v>благоустройство</v>
      </c>
      <c r="E108" s="99" t="s">
        <v>360</v>
      </c>
      <c r="F108" s="100">
        <v>510</v>
      </c>
      <c r="G108" s="102">
        <v>510</v>
      </c>
      <c r="H108" s="17" t="s">
        <v>193</v>
      </c>
      <c r="I108" s="100" t="str">
        <f>IF(OR(F108=152,F108=162,F108=510),IF((OR(LEFT(RIGHT(E108,13),1)={"A","D","E","F","G","I","L","N","P","R","S","T","V"})),"Ф",""),"")</f>
        <v/>
      </c>
    </row>
    <row r="109" spans="2:9" x14ac:dyDescent="0.3">
      <c r="D109" s="48" t="str">
        <f>CONCATENATE(УЧРЕЖДЕНИЯ!$A$6)</f>
        <v>благоустройство</v>
      </c>
      <c r="E109" s="99" t="s">
        <v>361</v>
      </c>
      <c r="F109" s="100">
        <v>6101</v>
      </c>
      <c r="G109" s="100">
        <v>610</v>
      </c>
      <c r="H109" s="17" t="s">
        <v>193</v>
      </c>
      <c r="I109" s="100" t="str">
        <f>IF(OR(F109=152,F109=162,F109=510),IF((OR(LEFT(RIGHT(E109,13),1)={"A","D","E","F","G","I","L","N","P","R","S","T","V"})),"Ф",""),"")</f>
        <v/>
      </c>
    </row>
    <row r="110" spans="2:9" x14ac:dyDescent="0.3">
      <c r="D110" s="48" t="str">
        <f>CONCATENATE(УЧРЕЖДЕНИЯ!$A$6)</f>
        <v>благоустройство</v>
      </c>
      <c r="E110" s="99" t="s">
        <v>347</v>
      </c>
      <c r="F110" s="102">
        <v>131</v>
      </c>
      <c r="G110" s="102">
        <v>130</v>
      </c>
      <c r="H110" s="17" t="s">
        <v>193</v>
      </c>
      <c r="I110" s="100" t="str">
        <f>IF(OR(F110=152,F110=162,F110=510),IF((OR(LEFT(RIGHT(E110,13),1)={"A","D","E","F","G","I","L","N","P","R","S","T","V"})),"Ф",""),"")</f>
        <v/>
      </c>
    </row>
    <row r="111" spans="2:9" x14ac:dyDescent="0.3">
      <c r="D111" s="48" t="str">
        <f>CONCATENATE(УЧРЕЖДЕНИЯ!$A$6)</f>
        <v>благоустройство</v>
      </c>
      <c r="E111" s="99" t="s">
        <v>348</v>
      </c>
      <c r="F111" s="102">
        <v>211</v>
      </c>
      <c r="G111" s="102">
        <v>111</v>
      </c>
      <c r="H111" s="17" t="s">
        <v>193</v>
      </c>
      <c r="I111" s="100" t="str">
        <f>IF(OR(F111=152,F111=162,F111=510),IF((OR(LEFT(RIGHT(E111,13),1)={"A","D","E","F","G","I","L","N","P","R","S","T","V"})),"Ф",""),"")</f>
        <v/>
      </c>
    </row>
    <row r="112" spans="2:9" x14ac:dyDescent="0.3">
      <c r="D112" s="48" t="str">
        <f>CONCATENATE(УЧРЕЖДЕНИЯ!$A$6)</f>
        <v>благоустройство</v>
      </c>
      <c r="E112" s="99" t="s">
        <v>349</v>
      </c>
      <c r="F112" s="102">
        <v>212</v>
      </c>
      <c r="G112" s="102">
        <v>112</v>
      </c>
      <c r="H112" s="17" t="s">
        <v>193</v>
      </c>
      <c r="I112" s="100" t="str">
        <f>IF(OR(F112=152,F112=162,F112=510),IF((OR(LEFT(RIGHT(E112,13),1)={"A","D","E","F","G","I","L","N","P","R","S","T","V"})),"Ф",""),"")</f>
        <v/>
      </c>
    </row>
    <row r="113" spans="4:9" x14ac:dyDescent="0.3">
      <c r="D113" s="48" t="str">
        <f>CONCATENATE(УЧРЕЖДЕНИЯ!$A$6)</f>
        <v>благоустройство</v>
      </c>
      <c r="E113" s="99" t="s">
        <v>350</v>
      </c>
      <c r="F113" s="102">
        <v>213</v>
      </c>
      <c r="G113" s="102">
        <v>119</v>
      </c>
      <c r="H113" s="17" t="s">
        <v>193</v>
      </c>
      <c r="I113" s="100" t="str">
        <f>IF(OR(F113=152,F113=162,F113=510),IF((OR(LEFT(RIGHT(E113,13),1)={"A","D","E","F","G","I","L","N","P","R","S","T","V"})),"Ф",""),"")</f>
        <v/>
      </c>
    </row>
    <row r="114" spans="4:9" x14ac:dyDescent="0.3">
      <c r="D114" s="48" t="str">
        <f>CONCATENATE(УЧРЕЖДЕНИЯ!$A$6)</f>
        <v>благоустройство</v>
      </c>
      <c r="E114" s="99" t="s">
        <v>579</v>
      </c>
      <c r="F114" s="102">
        <v>189</v>
      </c>
      <c r="G114" s="102">
        <v>180</v>
      </c>
      <c r="H114" s="17" t="s">
        <v>193</v>
      </c>
      <c r="I114" s="100" t="str">
        <f>IF(OR(F114=152,F114=162,F114=510),IF((OR(LEFT(RIGHT(E114,13),1)={"A","D","E","F","G","I","L","N","P","R","S","T","V"})),"Ф",""),"")</f>
        <v/>
      </c>
    </row>
    <row r="115" spans="4:9" x14ac:dyDescent="0.3">
      <c r="D115" s="48" t="str">
        <f>CONCATENATE(УЧРЕЖДЕНИЯ!$A$6)</f>
        <v>благоустройство</v>
      </c>
      <c r="E115" s="99" t="s">
        <v>351</v>
      </c>
      <c r="F115" s="102">
        <v>221</v>
      </c>
      <c r="G115" s="102">
        <v>244</v>
      </c>
      <c r="H115" s="17" t="s">
        <v>193</v>
      </c>
      <c r="I115" s="100" t="str">
        <f>IF(OR(F115=152,F115=162,F115=510),IF((OR(LEFT(RIGHT(E115,13),1)={"A","D","E","F","G","I","L","N","P","R","S","T","V"})),"Ф",""),"")</f>
        <v/>
      </c>
    </row>
    <row r="116" spans="4:9" x14ac:dyDescent="0.3">
      <c r="D116" s="48" t="str">
        <f>CONCATENATE(УЧРЕЖДЕНИЯ!$A$6)</f>
        <v>благоустройство</v>
      </c>
      <c r="E116" s="99" t="s">
        <v>351</v>
      </c>
      <c r="F116" s="102">
        <v>222</v>
      </c>
      <c r="G116" s="102">
        <v>244</v>
      </c>
      <c r="H116" s="17" t="s">
        <v>193</v>
      </c>
      <c r="I116" s="100" t="str">
        <f>IF(OR(F116=152,F116=162,F116=510),IF((OR(LEFT(RIGHT(E116,13),1)={"A","D","E","F","G","I","L","N","P","R","S","T","V"})),"Ф",""),"")</f>
        <v/>
      </c>
    </row>
    <row r="117" spans="4:9" x14ac:dyDescent="0.3">
      <c r="D117" s="48" t="str">
        <f>CONCATENATE(УЧРЕЖДЕНИЯ!$A$6)</f>
        <v>благоустройство</v>
      </c>
      <c r="E117" s="99" t="s">
        <v>352</v>
      </c>
      <c r="F117" s="102">
        <v>2233</v>
      </c>
      <c r="G117" s="102">
        <v>244</v>
      </c>
      <c r="H117" s="17" t="s">
        <v>193</v>
      </c>
      <c r="I117" s="100" t="str">
        <f>IF(OR(F117=152,F117=162,F117=510),IF((OR(LEFT(RIGHT(E117,13),1)={"A","D","E","F","G","I","L","N","P","R","S","T","V"})),"Ф",""),"")</f>
        <v/>
      </c>
    </row>
    <row r="118" spans="4:9" x14ac:dyDescent="0.3">
      <c r="D118" s="48" t="str">
        <f>CONCATENATE(УЧРЕЖДЕНИЯ!$A$6)</f>
        <v>благоустройство</v>
      </c>
      <c r="E118" s="99" t="s">
        <v>351</v>
      </c>
      <c r="F118" s="102">
        <v>224</v>
      </c>
      <c r="G118" s="102">
        <v>244</v>
      </c>
      <c r="H118" s="17" t="s">
        <v>193</v>
      </c>
      <c r="I118" s="100" t="str">
        <f>IF(OR(F118=152,F118=162,F118=510),IF((OR(LEFT(RIGHT(E118,13),1)={"A","D","E","F","G","I","L","N","P","R","S","T","V"})),"Ф",""),"")</f>
        <v/>
      </c>
    </row>
    <row r="119" spans="4:9" x14ac:dyDescent="0.3">
      <c r="D119" s="48" t="str">
        <f>CONCATENATE(УЧРЕЖДЕНИЯ!$A$6)</f>
        <v>благоустройство</v>
      </c>
      <c r="E119" s="99" t="s">
        <v>351</v>
      </c>
      <c r="F119" s="102">
        <v>225</v>
      </c>
      <c r="G119" s="102">
        <v>244</v>
      </c>
      <c r="H119" s="17" t="s">
        <v>193</v>
      </c>
      <c r="I119" s="100" t="str">
        <f>IF(OR(F119=152,F119=162,F119=510),IF((OR(LEFT(RIGHT(E119,13),1)={"A","D","E","F","G","I","L","N","P","R","S","T","V"})),"Ф",""),"")</f>
        <v/>
      </c>
    </row>
    <row r="120" spans="4:9" x14ac:dyDescent="0.3">
      <c r="D120" s="48" t="str">
        <f>CONCATENATE(УЧРЕЖДЕНИЯ!$A$6)</f>
        <v>благоустройство</v>
      </c>
      <c r="E120" s="99" t="s">
        <v>351</v>
      </c>
      <c r="F120" s="102">
        <v>226</v>
      </c>
      <c r="G120" s="102">
        <v>244</v>
      </c>
      <c r="H120" s="17" t="s">
        <v>193</v>
      </c>
      <c r="I120" s="100" t="str">
        <f>IF(OR(F120=152,F120=162,F120=510),IF((OR(LEFT(RIGHT(E120,13),1)={"A","D","E","F","G","I","L","N","P","R","S","T","V"})),"Ф",""),"")</f>
        <v/>
      </c>
    </row>
    <row r="121" spans="4:9" x14ac:dyDescent="0.3">
      <c r="D121" s="48" t="str">
        <f>CONCATENATE(УЧРЕЖДЕНИЯ!$A$6)</f>
        <v>благоустройство</v>
      </c>
      <c r="E121" s="99" t="s">
        <v>351</v>
      </c>
      <c r="F121" s="102">
        <v>227</v>
      </c>
      <c r="G121" s="102">
        <v>244</v>
      </c>
      <c r="H121" s="17" t="s">
        <v>193</v>
      </c>
      <c r="I121" s="100" t="str">
        <f>IF(OR(F121=152,F121=162,F121=510),IF((OR(LEFT(RIGHT(E121,13),1)={"A","D","E","F","G","I","L","N","P","R","S","T","V"})),"Ф",""),"")</f>
        <v/>
      </c>
    </row>
    <row r="122" spans="4:9" x14ac:dyDescent="0.3">
      <c r="D122" s="48" t="str">
        <f>CONCATENATE(УЧРЕЖДЕНИЯ!$A$6)</f>
        <v>благоустройство</v>
      </c>
      <c r="E122" s="99" t="s">
        <v>351</v>
      </c>
      <c r="F122" s="102">
        <v>310</v>
      </c>
      <c r="G122" s="102">
        <v>244</v>
      </c>
      <c r="H122" s="17" t="s">
        <v>193</v>
      </c>
      <c r="I122" s="100" t="str">
        <f>IF(OR(F122=152,F122=162,F122=510),IF((OR(LEFT(RIGHT(E122,13),1)={"A","D","E","F","G","I","L","N","P","R","S","T","V"})),"Ф",""),"")</f>
        <v/>
      </c>
    </row>
    <row r="123" spans="4:9" x14ac:dyDescent="0.3">
      <c r="D123" s="48" t="str">
        <f>CONCATENATE(УЧРЕЖДЕНИЯ!$A$6)</f>
        <v>благоустройство</v>
      </c>
      <c r="E123" s="99" t="s">
        <v>351</v>
      </c>
      <c r="F123" s="102">
        <v>343</v>
      </c>
      <c r="G123" s="102">
        <v>244</v>
      </c>
      <c r="H123" s="17" t="s">
        <v>193</v>
      </c>
      <c r="I123" s="100" t="str">
        <f>IF(OR(F123=152,F123=162,F123=510),IF((OR(LEFT(RIGHT(E123,13),1)={"A","D","E","F","G","I","L","N","P","R","S","T","V"})),"Ф",""),"")</f>
        <v/>
      </c>
    </row>
    <row r="124" spans="4:9" x14ac:dyDescent="0.3">
      <c r="D124" s="48" t="str">
        <f>CONCATENATE(УЧРЕЖДЕНИЯ!$A$6)</f>
        <v>благоустройство</v>
      </c>
      <c r="E124" s="99" t="s">
        <v>351</v>
      </c>
      <c r="F124" s="102">
        <v>346</v>
      </c>
      <c r="G124" s="102">
        <v>244</v>
      </c>
      <c r="H124" s="17" t="s">
        <v>193</v>
      </c>
      <c r="I124" s="100" t="str">
        <f>IF(OR(F124=152,F124=162,F124=510),IF((OR(LEFT(RIGHT(E124,13),1)={"A","D","E","F","G","I","L","N","P","R","S","T","V"})),"Ф",""),"")</f>
        <v/>
      </c>
    </row>
    <row r="125" spans="4:9" x14ac:dyDescent="0.3">
      <c r="D125" s="48" t="str">
        <f>CONCATENATE(УЧРЕЖДЕНИЯ!$A$6)</f>
        <v>благоустройство</v>
      </c>
      <c r="E125" s="99" t="s">
        <v>683</v>
      </c>
      <c r="F125" s="102">
        <v>2231</v>
      </c>
      <c r="G125" s="102">
        <v>247</v>
      </c>
      <c r="H125" s="17" t="s">
        <v>193</v>
      </c>
      <c r="I125" s="100" t="str">
        <f>IF(OR(F125=152,F125=162,F125=510),IF((OR(LEFT(RIGHT(E125,13),1)={"A","D","E","F","G","I","L","N","P","R","S","T","V"})),"Ф",""),"")</f>
        <v/>
      </c>
    </row>
    <row r="126" spans="4:9" x14ac:dyDescent="0.3">
      <c r="D126" s="48" t="str">
        <f>CONCATENATE(УЧРЕЖДЕНИЯ!$A$6)</f>
        <v>благоустройство</v>
      </c>
      <c r="E126" s="99" t="s">
        <v>695</v>
      </c>
      <c r="F126" s="102">
        <v>2232</v>
      </c>
      <c r="G126" s="102">
        <v>247</v>
      </c>
      <c r="H126" s="17" t="s">
        <v>193</v>
      </c>
      <c r="I126" s="100" t="str">
        <f>IF(OR(F126=152,F126=162,F126=510),IF((OR(LEFT(RIGHT(E126,13),1)={"A","D","E","F","G","I","L","N","P","R","S","T","V"})),"Ф",""),"")</f>
        <v/>
      </c>
    </row>
    <row r="127" spans="4:9" x14ac:dyDescent="0.3">
      <c r="D127" s="48" t="str">
        <f>CONCATENATE(УЧРЕЖДЕНИЯ!$A$6)</f>
        <v>благоустройство</v>
      </c>
      <c r="E127" s="99" t="s">
        <v>357</v>
      </c>
      <c r="F127" s="102">
        <v>264</v>
      </c>
      <c r="G127" s="102">
        <v>321</v>
      </c>
      <c r="H127" s="17" t="s">
        <v>193</v>
      </c>
      <c r="I127" s="100" t="str">
        <f>IF(OR(F127=152,F127=162,F127=510),IF((OR(LEFT(RIGHT(E127,13),1)={"A","D","E","F","G","I","L","N","P","R","S","T","V"})),"Ф",""),"")</f>
        <v/>
      </c>
    </row>
    <row r="128" spans="4:9" x14ac:dyDescent="0.3">
      <c r="D128" s="48" t="str">
        <f>CONCATENATE(УЧРЕЖДЕНИЯ!$A$6)</f>
        <v>благоустройство</v>
      </c>
      <c r="E128" s="99" t="s">
        <v>353</v>
      </c>
      <c r="F128" s="102">
        <v>262</v>
      </c>
      <c r="G128" s="102">
        <v>360</v>
      </c>
      <c r="H128" s="17" t="s">
        <v>193</v>
      </c>
      <c r="I128" s="100" t="str">
        <f>IF(OR(F128=152,F128=162,F128=510),IF((OR(LEFT(RIGHT(E128,13),1)={"A","D","E","F","G","I","L","N","P","R","S","T","V"})),"Ф",""),"")</f>
        <v/>
      </c>
    </row>
    <row r="129" spans="2:9" x14ac:dyDescent="0.3">
      <c r="D129" s="48" t="str">
        <f>CONCATENATE(УЧРЕЖДЕНИЯ!$A$6)</f>
        <v>благоустройство</v>
      </c>
      <c r="E129" s="99" t="s">
        <v>346</v>
      </c>
      <c r="F129" s="102">
        <v>510</v>
      </c>
      <c r="G129" s="102">
        <v>510</v>
      </c>
      <c r="H129" s="17" t="s">
        <v>193</v>
      </c>
      <c r="I129" s="100" t="str">
        <f>IF(OR(F129=152,F129=162,F129=510),IF((OR(LEFT(RIGHT(E129,13),1)={"A","D","E","F","G","I","L","N","P","R","S","T","V"})),"Ф",""),"")</f>
        <v/>
      </c>
    </row>
    <row r="130" spans="2:9" x14ac:dyDescent="0.3">
      <c r="D130" s="48" t="str">
        <f>CONCATENATE(УЧРЕЖДЕНИЯ!$A$6)</f>
        <v>благоустройство</v>
      </c>
      <c r="E130" s="99" t="s">
        <v>354</v>
      </c>
      <c r="F130" s="102">
        <v>291</v>
      </c>
      <c r="G130" s="102">
        <v>851</v>
      </c>
      <c r="H130" s="17" t="s">
        <v>193</v>
      </c>
      <c r="I130" s="100" t="str">
        <f>IF(OR(F130=152,F130=162,F130=510),IF((OR(LEFT(RIGHT(E130,13),1)={"A","D","E","F","G","I","L","N","P","R","S","T","V"})),"Ф",""),"")</f>
        <v/>
      </c>
    </row>
    <row r="131" spans="2:9" x14ac:dyDescent="0.3">
      <c r="D131" s="48" t="str">
        <f>CONCATENATE(УЧРЕЖДЕНИЯ!$A$6)</f>
        <v>благоустройство</v>
      </c>
      <c r="E131" s="99" t="s">
        <v>355</v>
      </c>
      <c r="F131" s="102">
        <v>291</v>
      </c>
      <c r="G131" s="102">
        <v>852</v>
      </c>
      <c r="H131" s="17" t="s">
        <v>193</v>
      </c>
      <c r="I131" s="100" t="str">
        <f>IF(OR(F131=152,F131=162,F131=510),IF((OR(LEFT(RIGHT(E131,13),1)={"A","D","E","F","G","I","L","N","P","R","S","T","V"})),"Ф",""),"")</f>
        <v/>
      </c>
    </row>
    <row r="132" spans="2:9" x14ac:dyDescent="0.3">
      <c r="D132" s="48" t="str">
        <f>CONCATENATE(УЧРЕЖДЕНИЯ!$A$6)</f>
        <v>благоустройство</v>
      </c>
      <c r="E132" s="99" t="s">
        <v>356</v>
      </c>
      <c r="F132" s="102">
        <v>291</v>
      </c>
      <c r="G132" s="102">
        <v>853</v>
      </c>
      <c r="H132" s="17" t="s">
        <v>193</v>
      </c>
      <c r="I132" s="100" t="str">
        <f>IF(OR(F132=152,F132=162,F132=510),IF((OR(LEFT(RIGHT(E132,13),1)={"A","D","E","F","G","I","L","N","P","R","S","T","V"})),"Ф",""),"")</f>
        <v/>
      </c>
    </row>
    <row r="133" spans="2:9" x14ac:dyDescent="0.3">
      <c r="D133" s="48" t="str">
        <f>CONCATENATE(УЧРЕЖДЕНИЯ!$A$6)</f>
        <v>благоустройство</v>
      </c>
      <c r="E133" s="99" t="s">
        <v>356</v>
      </c>
      <c r="F133" s="102">
        <v>292</v>
      </c>
      <c r="G133" s="102">
        <v>853</v>
      </c>
      <c r="H133" s="17" t="s">
        <v>193</v>
      </c>
      <c r="I133" s="100" t="str">
        <f>IF(OR(F133=152,F133=162,F133=510),IF((OR(LEFT(RIGHT(E133,13),1)={"A","D","E","F","G","I","L","N","P","R","S","T","V"})),"Ф",""),"")</f>
        <v/>
      </c>
    </row>
    <row r="134" spans="2:9" x14ac:dyDescent="0.3">
      <c r="D134" s="48" t="str">
        <f>CONCATENATE(УЧРЕЖДЕНИЯ!$A$6)</f>
        <v>благоустройство</v>
      </c>
      <c r="E134" s="99" t="s">
        <v>356</v>
      </c>
      <c r="F134" s="102">
        <v>293</v>
      </c>
      <c r="G134" s="102">
        <v>853</v>
      </c>
      <c r="H134" s="17" t="s">
        <v>193</v>
      </c>
      <c r="I134" s="100" t="str">
        <f>IF(OR(F134=152,F134=162,F134=510),IF((OR(LEFT(RIGHT(E134,13),1)={"A","D","E","F","G","I","L","N","P","R","S","T","V"})),"Ф",""),"")</f>
        <v/>
      </c>
    </row>
    <row r="135" spans="2:9" x14ac:dyDescent="0.3">
      <c r="D135" s="48" t="str">
        <f>CONCATENATE(УЧРЕЖДЕНИЯ!$A$6)</f>
        <v>благоустройство</v>
      </c>
      <c r="E135" s="99" t="s">
        <v>363</v>
      </c>
      <c r="F135" s="102">
        <v>155</v>
      </c>
      <c r="G135" s="102">
        <v>150</v>
      </c>
      <c r="H135" s="17" t="s">
        <v>193</v>
      </c>
      <c r="I135" s="100" t="str">
        <f>IF(OR(F135=152,F135=162,F135=510),IF((OR(LEFT(RIGHT(E135,13),1)={"A","D","E","F","G","I","L","N","P","R","S","T","V"})),"Ф",""),"")</f>
        <v/>
      </c>
    </row>
    <row r="136" spans="2:9" x14ac:dyDescent="0.3">
      <c r="D136" s="48" t="str">
        <f>CONCATENATE(УЧРЕЖДЕНИЯ!$A$6)</f>
        <v>благоустройство</v>
      </c>
      <c r="E136" s="99" t="s">
        <v>364</v>
      </c>
      <c r="F136" s="100">
        <v>225</v>
      </c>
      <c r="G136" s="100">
        <v>244</v>
      </c>
      <c r="H136" s="17" t="s">
        <v>193</v>
      </c>
      <c r="I136" s="100" t="str">
        <f>IF(OR(F136=152,F136=162,F136=510),IF((OR(LEFT(RIGHT(E136,13),1)={"A","D","E","F","G","I","L","N","P","R","S","T","V"})),"Ф",""),"")</f>
        <v/>
      </c>
    </row>
    <row r="137" spans="2:9" x14ac:dyDescent="0.3">
      <c r="D137" s="48" t="str">
        <f>CONCATENATE(УЧРЕЖДЕНИЯ!$A$6)</f>
        <v>благоустройство</v>
      </c>
      <c r="E137" s="99" t="s">
        <v>364</v>
      </c>
      <c r="F137" s="100">
        <v>226</v>
      </c>
      <c r="G137" s="100">
        <v>244</v>
      </c>
      <c r="H137" s="17" t="s">
        <v>193</v>
      </c>
      <c r="I137" s="100" t="str">
        <f>IF(OR(F137=152,F137=162,F137=510),IF((OR(LEFT(RIGHT(E137,13),1)={"A","D","E","F","G","I","L","N","P","R","S","T","V"})),"Ф",""),"")</f>
        <v/>
      </c>
    </row>
    <row r="138" spans="2:9" x14ac:dyDescent="0.3">
      <c r="D138" s="48" t="str">
        <f>CONCATENATE(УЧРЕЖДЕНИЯ!$A$6)</f>
        <v>благоустройство</v>
      </c>
      <c r="E138" s="99" t="s">
        <v>364</v>
      </c>
      <c r="F138" s="100">
        <v>310</v>
      </c>
      <c r="G138" s="100">
        <v>244</v>
      </c>
      <c r="H138" s="17" t="s">
        <v>193</v>
      </c>
      <c r="I138" s="100" t="str">
        <f>IF(OR(F138=152,F138=162,F138=510),IF((OR(LEFT(RIGHT(E138,13),1)={"A","D","E","F","G","I","L","N","P","R","S","T","V"})),"Ф",""),"")</f>
        <v/>
      </c>
    </row>
    <row r="139" spans="2:9" x14ac:dyDescent="0.3">
      <c r="D139" s="48" t="str">
        <f>CONCATENATE(УЧРЕЖДЕНИЯ!$A$6)</f>
        <v>благоустройство</v>
      </c>
      <c r="E139" s="99" t="s">
        <v>362</v>
      </c>
      <c r="F139" s="102">
        <v>510</v>
      </c>
      <c r="G139" s="102">
        <v>510</v>
      </c>
      <c r="H139" s="17" t="s">
        <v>193</v>
      </c>
      <c r="I139" s="100" t="str">
        <f>IF(OR(F139=152,F139=162,F139=510),IF((OR(LEFT(RIGHT(E139,13),1)={"A","D","E","F","G","I","L","N","P","R","S","T","V"})),"Ф",""),"")</f>
        <v/>
      </c>
    </row>
    <row r="140" spans="2:9" x14ac:dyDescent="0.3">
      <c r="B140" s="48" t="s">
        <v>735</v>
      </c>
      <c r="C140" s="48" t="s">
        <v>136</v>
      </c>
      <c r="D140" s="48" t="str">
        <f>CONCATENATE(УЧРЕЖДЕНИЯ!$A$7)</f>
        <v>МХШ</v>
      </c>
      <c r="E140" s="99" t="s">
        <v>368</v>
      </c>
      <c r="F140" s="100">
        <v>121</v>
      </c>
      <c r="G140" s="100">
        <v>120</v>
      </c>
      <c r="H140" s="17" t="s">
        <v>192</v>
      </c>
      <c r="I140" s="100" t="str">
        <f>IF(OR(F140=152,F140=162,F140=510),IF((OR(LEFT(RIGHT(E140,13),1)={"A","D","E","F","G","I","L","N","P","R","S","T","V"})),"Ф",""),"")</f>
        <v/>
      </c>
    </row>
    <row r="141" spans="2:9" x14ac:dyDescent="0.3">
      <c r="D141" s="48" t="str">
        <f>CONCATENATE(УЧРЕЖДЕНИЯ!$A$7)</f>
        <v>МХШ</v>
      </c>
      <c r="E141" s="99" t="s">
        <v>369</v>
      </c>
      <c r="F141" s="102">
        <v>225</v>
      </c>
      <c r="G141" s="102">
        <v>244</v>
      </c>
      <c r="H141" s="17" t="s">
        <v>192</v>
      </c>
      <c r="I141" s="100" t="str">
        <f>IF(OR(F141=152,F141=162,F141=510),IF((OR(LEFT(RIGHT(E141,13),1)={"A","D","E","F","G","I","L","N","P","R","S","T","V"})),"Ф",""),"")</f>
        <v/>
      </c>
    </row>
    <row r="142" spans="2:9" x14ac:dyDescent="0.3">
      <c r="D142" s="48" t="str">
        <f>CONCATENATE(УЧРЕЖДЕНИЯ!$A$7)</f>
        <v>МХШ</v>
      </c>
      <c r="E142" s="99" t="s">
        <v>369</v>
      </c>
      <c r="F142" s="102">
        <v>226</v>
      </c>
      <c r="G142" s="102">
        <v>244</v>
      </c>
      <c r="H142" s="17" t="s">
        <v>192</v>
      </c>
      <c r="I142" s="100" t="str">
        <f>IF(OR(F142=152,F142=162,F142=510),IF((OR(LEFT(RIGHT(E142,13),1)={"A","D","E","F","G","I","L","N","P","R","S","T","V"})),"Ф",""),"")</f>
        <v/>
      </c>
    </row>
    <row r="143" spans="2:9" x14ac:dyDescent="0.3">
      <c r="D143" s="48" t="str">
        <f>CONCATENATE(УЧРЕЖДЕНИЯ!$A$7)</f>
        <v>МХШ</v>
      </c>
      <c r="E143" s="99" t="s">
        <v>369</v>
      </c>
      <c r="F143" s="102">
        <v>310</v>
      </c>
      <c r="G143" s="102">
        <v>244</v>
      </c>
      <c r="H143" s="17" t="s">
        <v>192</v>
      </c>
      <c r="I143" s="100" t="str">
        <f>IF(OR(F143=152,F143=162,F143=510),IF((OR(LEFT(RIGHT(E143,13),1)={"A","D","E","F","G","I","L","N","P","R","S","T","V"})),"Ф",""),"")</f>
        <v/>
      </c>
    </row>
    <row r="144" spans="2:9" x14ac:dyDescent="0.3">
      <c r="D144" s="48" t="str">
        <f>CONCATENATE(УЧРЕЖДЕНИЯ!$A$7)</f>
        <v>МХШ</v>
      </c>
      <c r="E144" s="99" t="s">
        <v>369</v>
      </c>
      <c r="F144" s="102">
        <v>344</v>
      </c>
      <c r="G144" s="102">
        <v>244</v>
      </c>
      <c r="H144" s="17" t="s">
        <v>192</v>
      </c>
      <c r="I144" s="100" t="str">
        <f>IF(OR(F144=152,F144=162,F144=510),IF((OR(LEFT(RIGHT(E144,13),1)={"A","D","E","F","G","I","L","N","P","R","S","T","V"})),"Ф",""),"")</f>
        <v/>
      </c>
    </row>
    <row r="145" spans="4:9" x14ac:dyDescent="0.3">
      <c r="D145" s="48" t="str">
        <f>CONCATENATE(УЧРЕЖДЕНИЯ!$A$7)</f>
        <v>МХШ</v>
      </c>
      <c r="E145" s="99" t="s">
        <v>369</v>
      </c>
      <c r="F145" s="102">
        <v>346</v>
      </c>
      <c r="G145" s="102">
        <v>244</v>
      </c>
      <c r="H145" s="17" t="s">
        <v>192</v>
      </c>
      <c r="I145" s="100" t="str">
        <f>IF(OR(F145=152,F145=162,F145=510),IF((OR(LEFT(RIGHT(E145,13),1)={"A","D","E","F","G","I","L","N","P","R","S","T","V"})),"Ф",""),"")</f>
        <v/>
      </c>
    </row>
    <row r="146" spans="4:9" x14ac:dyDescent="0.3">
      <c r="D146" s="48" t="str">
        <f>CONCATENATE(УЧРЕЖДЕНИЯ!$A$7)</f>
        <v>МХШ</v>
      </c>
      <c r="E146" s="99" t="s">
        <v>369</v>
      </c>
      <c r="F146" s="102">
        <v>349</v>
      </c>
      <c r="G146" s="102">
        <v>244</v>
      </c>
      <c r="H146" s="17" t="s">
        <v>192</v>
      </c>
      <c r="I146" s="100" t="str">
        <f>IF(OR(F146=152,F146=162,F146=510),IF((OR(LEFT(RIGHT(E146,13),1)={"A","D","E","F","G","I","L","N","P","R","S","T","V"})),"Ф",""),"")</f>
        <v/>
      </c>
    </row>
    <row r="147" spans="4:9" x14ac:dyDescent="0.3">
      <c r="D147" s="48" t="str">
        <f>CONCATENATE(УЧРЕЖДЕНИЯ!$A$7)</f>
        <v>МХШ</v>
      </c>
      <c r="E147" s="99" t="s">
        <v>684</v>
      </c>
      <c r="F147" s="102">
        <v>2231</v>
      </c>
      <c r="G147" s="102">
        <v>247</v>
      </c>
      <c r="H147" s="17" t="s">
        <v>192</v>
      </c>
      <c r="I147" s="100" t="str">
        <f>IF(OR(F147=152,F147=162,F147=510),IF((OR(LEFT(RIGHT(E147,13),1)={"A","D","E","F","G","I","L","N","P","R","S","T","V"})),"Ф",""),"")</f>
        <v/>
      </c>
    </row>
    <row r="148" spans="4:9" x14ac:dyDescent="0.3">
      <c r="D148" s="48" t="str">
        <f>CONCATENATE(УЧРЕЖДЕНИЯ!$A$7)</f>
        <v>МХШ</v>
      </c>
      <c r="E148" s="99" t="s">
        <v>696</v>
      </c>
      <c r="F148" s="102">
        <v>2232</v>
      </c>
      <c r="G148" s="102">
        <v>247</v>
      </c>
      <c r="H148" s="17" t="s">
        <v>192</v>
      </c>
      <c r="I148" s="100" t="str">
        <f>IF(OR(F148=152,F148=162,F148=510),IF((OR(LEFT(RIGHT(E148,13),1)={"A","D","E","F","G","I","L","N","P","R","S","T","V"})),"Ф",""),"")</f>
        <v/>
      </c>
    </row>
    <row r="149" spans="4:9" x14ac:dyDescent="0.3">
      <c r="D149" s="48" t="str">
        <f>CONCATENATE(УЧРЕЖДЕНИЯ!$A$7)</f>
        <v>МХШ</v>
      </c>
      <c r="E149" s="99" t="s">
        <v>367</v>
      </c>
      <c r="F149" s="100">
        <v>510</v>
      </c>
      <c r="G149" s="100">
        <v>510</v>
      </c>
      <c r="H149" s="17" t="s">
        <v>192</v>
      </c>
      <c r="I149" s="100" t="str">
        <f>IF(OR(F149=152,F149=162,F149=510),IF((OR(LEFT(RIGHT(E149,13),1)={"A","D","E","F","G","I","L","N","P","R","S","T","V"})),"Ф",""),"")</f>
        <v/>
      </c>
    </row>
    <row r="150" spans="4:9" x14ac:dyDescent="0.3">
      <c r="D150" s="48" t="str">
        <f>CONCATENATE(УЧРЕЖДЕНИЯ!$A$7)</f>
        <v>МХШ</v>
      </c>
      <c r="E150" s="99" t="s">
        <v>347</v>
      </c>
      <c r="F150" s="102">
        <v>131</v>
      </c>
      <c r="G150" s="102">
        <v>130</v>
      </c>
      <c r="H150" s="17" t="s">
        <v>192</v>
      </c>
      <c r="I150" s="100" t="str">
        <f>IF(OR(F150=152,F150=162,F150=510),IF((OR(LEFT(RIGHT(E150,13),1)={"A","D","E","F","G","I","L","N","P","R","S","T","V"})),"Ф",""),"")</f>
        <v/>
      </c>
    </row>
    <row r="151" spans="4:9" x14ac:dyDescent="0.3">
      <c r="D151" s="48" t="str">
        <f>CONCATENATE(УЧРЕЖДЕНИЯ!$A$7)</f>
        <v>МХШ</v>
      </c>
      <c r="E151" s="99" t="s">
        <v>348</v>
      </c>
      <c r="F151" s="102">
        <v>211</v>
      </c>
      <c r="G151" s="102">
        <v>111</v>
      </c>
      <c r="H151" s="17" t="s">
        <v>192</v>
      </c>
      <c r="I151" s="100" t="str">
        <f>IF(OR(F151=152,F151=162,F151=510),IF((OR(LEFT(RIGHT(E151,13),1)={"A","D","E","F","G","I","L","N","P","R","S","T","V"})),"Ф",""),"")</f>
        <v/>
      </c>
    </row>
    <row r="152" spans="4:9" x14ac:dyDescent="0.3">
      <c r="D152" s="48" t="str">
        <f>CONCATENATE(УЧРЕЖДЕНИЯ!$A$7)</f>
        <v>МХШ</v>
      </c>
      <c r="E152" s="99" t="s">
        <v>349</v>
      </c>
      <c r="F152" s="102">
        <v>212</v>
      </c>
      <c r="G152" s="102">
        <v>112</v>
      </c>
      <c r="H152" s="17" t="s">
        <v>192</v>
      </c>
      <c r="I152" s="100" t="str">
        <f>IF(OR(F152=152,F152=162,F152=510),IF((OR(LEFT(RIGHT(E152,13),1)={"A","D","E","F","G","I","L","N","P","R","S","T","V"})),"Ф",""),"")</f>
        <v/>
      </c>
    </row>
    <row r="153" spans="4:9" x14ac:dyDescent="0.3">
      <c r="D153" s="48" t="str">
        <f>CONCATENATE(УЧРЕЖДЕНИЯ!$A$7)</f>
        <v>МХШ</v>
      </c>
      <c r="E153" s="99" t="s">
        <v>349</v>
      </c>
      <c r="F153" s="102">
        <v>226</v>
      </c>
      <c r="G153" s="102">
        <v>112</v>
      </c>
      <c r="H153" s="17" t="s">
        <v>192</v>
      </c>
      <c r="I153" s="100" t="str">
        <f>IF(OR(F153=152,F153=162,F153=510),IF((OR(LEFT(RIGHT(E153,13),1)={"A","D","E","F","G","I","L","N","P","R","S","T","V"})),"Ф",""),"")</f>
        <v/>
      </c>
    </row>
    <row r="154" spans="4:9" x14ac:dyDescent="0.3">
      <c r="D154" s="48" t="str">
        <f>CONCATENATE(УЧРЕЖДЕНИЯ!$A$7)</f>
        <v>МХШ</v>
      </c>
      <c r="E154" s="99" t="s">
        <v>350</v>
      </c>
      <c r="F154" s="102">
        <v>213</v>
      </c>
      <c r="G154" s="102">
        <v>119</v>
      </c>
      <c r="H154" s="17" t="s">
        <v>192</v>
      </c>
      <c r="I154" s="100" t="str">
        <f>IF(OR(F154=152,F154=162,F154=510),IF((OR(LEFT(RIGHT(E154,13),1)={"A","D","E","F","G","I","L","N","P","R","S","T","V"})),"Ф",""),"")</f>
        <v/>
      </c>
    </row>
    <row r="155" spans="4:9" x14ac:dyDescent="0.3">
      <c r="D155" s="48" t="str">
        <f>CONCATENATE(УЧРЕЖДЕНИЯ!$A$7)</f>
        <v>МХШ</v>
      </c>
      <c r="E155" s="99" t="s">
        <v>351</v>
      </c>
      <c r="F155" s="102">
        <v>221</v>
      </c>
      <c r="G155" s="102">
        <v>244</v>
      </c>
      <c r="H155" s="17" t="s">
        <v>192</v>
      </c>
      <c r="I155" s="100" t="str">
        <f>IF(OR(F155=152,F155=162,F155=510),IF((OR(LEFT(RIGHT(E155,13),1)={"A","D","E","F","G","I","L","N","P","R","S","T","V"})),"Ф",""),"")</f>
        <v/>
      </c>
    </row>
    <row r="156" spans="4:9" x14ac:dyDescent="0.3">
      <c r="D156" s="48" t="str">
        <f>CONCATENATE(УЧРЕЖДЕНИЯ!$A$7)</f>
        <v>МХШ</v>
      </c>
      <c r="E156" s="99" t="s">
        <v>351</v>
      </c>
      <c r="F156" s="102">
        <v>222</v>
      </c>
      <c r="G156" s="102">
        <v>244</v>
      </c>
      <c r="H156" s="17" t="s">
        <v>192</v>
      </c>
      <c r="I156" s="100" t="str">
        <f>IF(OR(F156=152,F156=162,F156=510),IF((OR(LEFT(RIGHT(E156,13),1)={"A","D","E","F","G","I","L","N","P","R","S","T","V"})),"Ф",""),"")</f>
        <v/>
      </c>
    </row>
    <row r="157" spans="4:9" x14ac:dyDescent="0.3">
      <c r="D157" s="48" t="str">
        <f>CONCATENATE(УЧРЕЖДЕНИЯ!$A$7)</f>
        <v>МХШ</v>
      </c>
      <c r="E157" s="99" t="s">
        <v>352</v>
      </c>
      <c r="F157" s="102">
        <v>2233</v>
      </c>
      <c r="G157" s="102">
        <v>244</v>
      </c>
      <c r="H157" s="17" t="s">
        <v>192</v>
      </c>
      <c r="I157" s="100" t="str">
        <f>IF(OR(F157=152,F157=162,F157=510),IF((OR(LEFT(RIGHT(E157,13),1)={"A","D","E","F","G","I","L","N","P","R","S","T","V"})),"Ф",""),"")</f>
        <v/>
      </c>
    </row>
    <row r="158" spans="4:9" x14ac:dyDescent="0.3">
      <c r="D158" s="48" t="str">
        <f>CONCATENATE(УЧРЕЖДЕНИЯ!$A$7)</f>
        <v>МХШ</v>
      </c>
      <c r="E158" s="99" t="s">
        <v>351</v>
      </c>
      <c r="F158" s="102">
        <v>224</v>
      </c>
      <c r="G158" s="102">
        <v>244</v>
      </c>
      <c r="H158" s="17" t="s">
        <v>192</v>
      </c>
      <c r="I158" s="100" t="str">
        <f>IF(OR(F158=152,F158=162,F158=510),IF((OR(LEFT(RIGHT(E158,13),1)={"A","D","E","F","G","I","L","N","P","R","S","T","V"})),"Ф",""),"")</f>
        <v/>
      </c>
    </row>
    <row r="159" spans="4:9" x14ac:dyDescent="0.3">
      <c r="D159" s="48" t="str">
        <f>CONCATENATE(УЧРЕЖДЕНИЯ!$A$7)</f>
        <v>МХШ</v>
      </c>
      <c r="E159" s="99" t="s">
        <v>351</v>
      </c>
      <c r="F159" s="102">
        <v>225</v>
      </c>
      <c r="G159" s="102">
        <v>244</v>
      </c>
      <c r="H159" s="17" t="s">
        <v>192</v>
      </c>
      <c r="I159" s="100" t="str">
        <f>IF(OR(F159=152,F159=162,F159=510),IF((OR(LEFT(RIGHT(E159,13),1)={"A","D","E","F","G","I","L","N","P","R","S","T","V"})),"Ф",""),"")</f>
        <v/>
      </c>
    </row>
    <row r="160" spans="4:9" x14ac:dyDescent="0.3">
      <c r="D160" s="48" t="str">
        <f>CONCATENATE(УЧРЕЖДЕНИЯ!$A$7)</f>
        <v>МХШ</v>
      </c>
      <c r="E160" s="99" t="s">
        <v>351</v>
      </c>
      <c r="F160" s="102">
        <v>226</v>
      </c>
      <c r="G160" s="102">
        <v>244</v>
      </c>
      <c r="H160" s="17" t="s">
        <v>192</v>
      </c>
      <c r="I160" s="100" t="str">
        <f>IF(OR(F160=152,F160=162,F160=510),IF((OR(LEFT(RIGHT(E160,13),1)={"A","D","E","F","G","I","L","N","P","R","S","T","V"})),"Ф",""),"")</f>
        <v/>
      </c>
    </row>
    <row r="161" spans="4:9" x14ac:dyDescent="0.3">
      <c r="D161" s="48" t="str">
        <f>CONCATENATE(УЧРЕЖДЕНИЯ!$A$7)</f>
        <v>МХШ</v>
      </c>
      <c r="E161" s="99" t="s">
        <v>351</v>
      </c>
      <c r="F161" s="102">
        <v>296</v>
      </c>
      <c r="G161" s="102">
        <v>244</v>
      </c>
      <c r="H161" s="17" t="s">
        <v>192</v>
      </c>
      <c r="I161" s="100" t="str">
        <f>IF(OR(F161=152,F161=162,F161=510),IF((OR(LEFT(RIGHT(E161,13),1)={"A","D","E","F","G","I","L","N","P","R","S","T","V"})),"Ф",""),"")</f>
        <v/>
      </c>
    </row>
    <row r="162" spans="4:9" x14ac:dyDescent="0.3">
      <c r="D162" s="48" t="str">
        <f>CONCATENATE(УЧРЕЖДЕНИЯ!$A$7)</f>
        <v>МХШ</v>
      </c>
      <c r="E162" s="99" t="s">
        <v>351</v>
      </c>
      <c r="F162" s="102">
        <v>310</v>
      </c>
      <c r="G162" s="102">
        <v>244</v>
      </c>
      <c r="H162" s="17" t="s">
        <v>192</v>
      </c>
      <c r="I162" s="100" t="str">
        <f>IF(OR(F162=152,F162=162,F162=510),IF((OR(LEFT(RIGHT(E162,13),1)={"A","D","E","F","G","I","L","N","P","R","S","T","V"})),"Ф",""),"")</f>
        <v/>
      </c>
    </row>
    <row r="163" spans="4:9" x14ac:dyDescent="0.3">
      <c r="D163" s="48" t="str">
        <f>CONCATENATE(УЧРЕЖДЕНИЯ!$A$7)</f>
        <v>МХШ</v>
      </c>
      <c r="E163" s="99" t="s">
        <v>351</v>
      </c>
      <c r="F163" s="102">
        <v>341</v>
      </c>
      <c r="G163" s="102">
        <v>244</v>
      </c>
      <c r="H163" s="17" t="s">
        <v>192</v>
      </c>
      <c r="I163" s="100" t="str">
        <f>IF(OR(F163=152,F163=162,F163=510),IF((OR(LEFT(RIGHT(E163,13),1)={"A","D","E","F","G","I","L","N","P","R","S","T","V"})),"Ф",""),"")</f>
        <v/>
      </c>
    </row>
    <row r="164" spans="4:9" x14ac:dyDescent="0.3">
      <c r="D164" s="48" t="str">
        <f>CONCATENATE(УЧРЕЖДЕНИЯ!$A$7)</f>
        <v>МХШ</v>
      </c>
      <c r="E164" s="99" t="s">
        <v>351</v>
      </c>
      <c r="F164" s="102">
        <v>344</v>
      </c>
      <c r="G164" s="102">
        <v>244</v>
      </c>
      <c r="H164" s="17" t="s">
        <v>192</v>
      </c>
      <c r="I164" s="100" t="str">
        <f>IF(OR(F164=152,F164=162,F164=510),IF((OR(LEFT(RIGHT(E164,13),1)={"A","D","E","F","G","I","L","N","P","R","S","T","V"})),"Ф",""),"")</f>
        <v/>
      </c>
    </row>
    <row r="165" spans="4:9" x14ac:dyDescent="0.3">
      <c r="D165" s="48" t="str">
        <f>CONCATENATE(УЧРЕЖДЕНИЯ!$A$7)</f>
        <v>МХШ</v>
      </c>
      <c r="E165" s="99" t="s">
        <v>351</v>
      </c>
      <c r="F165" s="102">
        <v>345</v>
      </c>
      <c r="G165" s="102">
        <v>244</v>
      </c>
      <c r="H165" s="17" t="s">
        <v>192</v>
      </c>
      <c r="I165" s="100" t="str">
        <f>IF(OR(F165=152,F165=162,F165=510),IF((OR(LEFT(RIGHT(E165,13),1)={"A","D","E","F","G","I","L","N","P","R","S","T","V"})),"Ф",""),"")</f>
        <v/>
      </c>
    </row>
    <row r="166" spans="4:9" x14ac:dyDescent="0.3">
      <c r="D166" s="48" t="str">
        <f>CONCATENATE(УЧРЕЖДЕНИЯ!$A$7)</f>
        <v>МХШ</v>
      </c>
      <c r="E166" s="99" t="s">
        <v>351</v>
      </c>
      <c r="F166" s="102">
        <v>346</v>
      </c>
      <c r="G166" s="102">
        <v>244</v>
      </c>
      <c r="H166" s="17" t="s">
        <v>192</v>
      </c>
      <c r="I166" s="100" t="str">
        <f>IF(OR(F166=152,F166=162,F166=510),IF((OR(LEFT(RIGHT(E166,13),1)={"A","D","E","F","G","I","L","N","P","R","S","T","V"})),"Ф",""),"")</f>
        <v/>
      </c>
    </row>
    <row r="167" spans="4:9" x14ac:dyDescent="0.3">
      <c r="D167" s="48" t="str">
        <f>CONCATENATE(УЧРЕЖДЕНИЯ!$A$7)</f>
        <v>МХШ</v>
      </c>
      <c r="E167" s="99" t="s">
        <v>351</v>
      </c>
      <c r="F167" s="102">
        <v>349</v>
      </c>
      <c r="G167" s="102">
        <v>244</v>
      </c>
      <c r="H167" s="17" t="s">
        <v>192</v>
      </c>
      <c r="I167" s="100" t="str">
        <f>IF(OR(F167=152,F167=162,F167=510),IF((OR(LEFT(RIGHT(E167,13),1)={"A","D","E","F","G","I","L","N","P","R","S","T","V"})),"Ф",""),"")</f>
        <v/>
      </c>
    </row>
    <row r="168" spans="4:9" x14ac:dyDescent="0.3">
      <c r="D168" s="48" t="str">
        <f>CONCATENATE(УЧРЕЖДЕНИЯ!$A$7)</f>
        <v>МХШ</v>
      </c>
      <c r="E168" s="99" t="s">
        <v>683</v>
      </c>
      <c r="F168" s="102">
        <v>2231</v>
      </c>
      <c r="G168" s="102">
        <v>247</v>
      </c>
      <c r="H168" s="17" t="s">
        <v>192</v>
      </c>
      <c r="I168" s="100" t="str">
        <f>IF(OR(F168=152,F168=162,F168=510),IF((OR(LEFT(RIGHT(E168,13),1)={"A","D","E","F","G","I","L","N","P","R","S","T","V"})),"Ф",""),"")</f>
        <v/>
      </c>
    </row>
    <row r="169" spans="4:9" x14ac:dyDescent="0.3">
      <c r="D169" s="48" t="str">
        <f>CONCATENATE(УЧРЕЖДЕНИЯ!$A$7)</f>
        <v>МХШ</v>
      </c>
      <c r="E169" s="99" t="s">
        <v>695</v>
      </c>
      <c r="F169" s="102">
        <v>2232</v>
      </c>
      <c r="G169" s="102">
        <v>247</v>
      </c>
      <c r="H169" s="17" t="s">
        <v>192</v>
      </c>
      <c r="I169" s="100" t="str">
        <f>IF(OR(F169=152,F169=162,F169=510),IF((OR(LEFT(RIGHT(E169,13),1)={"A","D","E","F","G","I","L","N","P","R","S","T","V"})),"Ф",""),"")</f>
        <v/>
      </c>
    </row>
    <row r="170" spans="4:9" x14ac:dyDescent="0.3">
      <c r="D170" s="48" t="str">
        <f>CONCATENATE(УЧРЕЖДЕНИЯ!$A$7)</f>
        <v>МХШ</v>
      </c>
      <c r="E170" s="99" t="s">
        <v>353</v>
      </c>
      <c r="F170" s="102">
        <v>262</v>
      </c>
      <c r="G170" s="102">
        <v>360</v>
      </c>
      <c r="H170" s="17" t="s">
        <v>192</v>
      </c>
      <c r="I170" s="100" t="str">
        <f>IF(OR(F170=152,F170=162,F170=510),IF((OR(LEFT(RIGHT(E170,13),1)={"A","D","E","F","G","I","L","N","P","R","S","T","V"})),"Ф",""),"")</f>
        <v/>
      </c>
    </row>
    <row r="171" spans="4:9" x14ac:dyDescent="0.3">
      <c r="D171" s="48" t="str">
        <f>CONCATENATE(УЧРЕЖДЕНИЯ!$A$7)</f>
        <v>МХШ</v>
      </c>
      <c r="E171" s="99" t="s">
        <v>346</v>
      </c>
      <c r="F171" s="102">
        <v>510</v>
      </c>
      <c r="G171" s="102">
        <v>510</v>
      </c>
      <c r="H171" s="17" t="s">
        <v>192</v>
      </c>
      <c r="I171" s="100" t="str">
        <f>IF(OR(F171=152,F171=162,F171=510),IF((OR(LEFT(RIGHT(E171,13),1)={"A","D","E","F","G","I","L","N","P","R","S","T","V"})),"Ф",""),"")</f>
        <v/>
      </c>
    </row>
    <row r="172" spans="4:9" x14ac:dyDescent="0.3">
      <c r="D172" s="48" t="str">
        <f>CONCATENATE(УЧРЕЖДЕНИЯ!$A$7)</f>
        <v>МХШ</v>
      </c>
      <c r="E172" s="99" t="s">
        <v>355</v>
      </c>
      <c r="F172" s="102">
        <v>291</v>
      </c>
      <c r="G172" s="102">
        <v>852</v>
      </c>
      <c r="H172" s="17" t="s">
        <v>192</v>
      </c>
      <c r="I172" s="100" t="str">
        <f>IF(OR(F172=152,F172=162,F172=510),IF((OR(LEFT(RIGHT(E172,13),1)={"A","D","E","F","G","I","L","N","P","R","S","T","V"})),"Ф",""),"")</f>
        <v/>
      </c>
    </row>
    <row r="173" spans="4:9" x14ac:dyDescent="0.3">
      <c r="D173" s="48" t="str">
        <f>CONCATENATE(УЧРЕЖДЕНИЯ!$A$7)</f>
        <v>МХШ</v>
      </c>
      <c r="E173" s="99" t="s">
        <v>356</v>
      </c>
      <c r="F173" s="102">
        <v>292</v>
      </c>
      <c r="G173" s="102">
        <v>853</v>
      </c>
      <c r="H173" s="17" t="s">
        <v>192</v>
      </c>
      <c r="I173" s="100" t="str">
        <f>IF(OR(F173=152,F173=162,F173=510),IF((OR(LEFT(RIGHT(E173,13),1)={"A","D","E","F","G","I","L","N","P","R","S","T","V"})),"Ф",""),"")</f>
        <v/>
      </c>
    </row>
    <row r="174" spans="4:9" x14ac:dyDescent="0.3">
      <c r="D174" s="48" t="str">
        <f>CONCATENATE(УЧРЕЖДЕНИЯ!$A$7)</f>
        <v>МХШ</v>
      </c>
      <c r="E174" s="99" t="s">
        <v>356</v>
      </c>
      <c r="F174" s="102">
        <v>293</v>
      </c>
      <c r="G174" s="102">
        <v>853</v>
      </c>
      <c r="H174" s="17" t="s">
        <v>192</v>
      </c>
      <c r="I174" s="100" t="str">
        <f>IF(OR(F174=152,F174=162,F174=510),IF((OR(LEFT(RIGHT(E174,13),1)={"A","D","E","F","G","I","L","N","P","R","S","T","V"})),"Ф",""),"")</f>
        <v/>
      </c>
    </row>
    <row r="175" spans="4:9" x14ac:dyDescent="0.3">
      <c r="D175" s="48" t="str">
        <f>CONCATENATE(УЧРЕЖДЕНИЯ!$A$7)</f>
        <v>МХШ</v>
      </c>
      <c r="E175" s="99" t="s">
        <v>360</v>
      </c>
      <c r="F175" s="100">
        <v>510</v>
      </c>
      <c r="G175" s="102">
        <v>510</v>
      </c>
      <c r="H175" s="17" t="s">
        <v>192</v>
      </c>
      <c r="I175" s="100" t="str">
        <f>IF(OR(F175=152,F175=162,F175=510),IF((OR(LEFT(RIGHT(E175,13),1)={"A","D","E","F","G","I","L","N","P","R","S","T","V"})),"Ф",""),"")</f>
        <v/>
      </c>
    </row>
    <row r="176" spans="4:9" x14ac:dyDescent="0.3">
      <c r="D176" s="48" t="str">
        <f>CONCATENATE(УЧРЕЖДЕНИЯ!$A$7)</f>
        <v>МХШ</v>
      </c>
      <c r="E176" s="99" t="s">
        <v>361</v>
      </c>
      <c r="F176" s="100">
        <v>6101</v>
      </c>
      <c r="G176" s="100">
        <v>610</v>
      </c>
      <c r="H176" s="17" t="s">
        <v>192</v>
      </c>
      <c r="I176" s="100" t="str">
        <f>IF(OR(F176=152,F176=162,F176=510),IF((OR(LEFT(RIGHT(E176,13),1)={"A","D","E","F","G","I","L","N","P","R","S","T","V"})),"Ф",""),"")</f>
        <v/>
      </c>
    </row>
    <row r="177" spans="2:9" x14ac:dyDescent="0.3">
      <c r="D177" s="48" t="str">
        <f>CONCATENATE(УЧРЕЖДЕНИЯ!$A$7)</f>
        <v>МХШ</v>
      </c>
      <c r="E177" s="99" t="s">
        <v>363</v>
      </c>
      <c r="F177" s="100">
        <v>155</v>
      </c>
      <c r="G177" s="100">
        <v>150</v>
      </c>
      <c r="H177" s="17" t="s">
        <v>192</v>
      </c>
      <c r="I177" s="100" t="str">
        <f>IF(OR(F177=152,F177=162,F177=510),IF((OR(LEFT(RIGHT(E177,13),1)={"A","D","E","F","G","I","L","N","P","R","S","T","V"})),"Ф",""),"")</f>
        <v/>
      </c>
    </row>
    <row r="178" spans="2:9" x14ac:dyDescent="0.3">
      <c r="D178" s="48" t="str">
        <f>CONCATENATE(УЧРЕЖДЕНИЯ!$A$7)</f>
        <v>МХШ</v>
      </c>
      <c r="E178" s="99" t="s">
        <v>364</v>
      </c>
      <c r="F178" s="100">
        <v>225</v>
      </c>
      <c r="G178" s="100">
        <v>244</v>
      </c>
      <c r="H178" s="17" t="s">
        <v>192</v>
      </c>
      <c r="I178" s="100" t="str">
        <f>IF(OR(F178=152,F178=162,F178=510),IF((OR(LEFT(RIGHT(E178,13),1)={"A","D","E","F","G","I","L","N","P","R","S","T","V"})),"Ф",""),"")</f>
        <v/>
      </c>
    </row>
    <row r="179" spans="2:9" x14ac:dyDescent="0.3">
      <c r="D179" s="48" t="str">
        <f>CONCATENATE(УЧРЕЖДЕНИЯ!$A$7)</f>
        <v>МХШ</v>
      </c>
      <c r="E179" s="99" t="s">
        <v>364</v>
      </c>
      <c r="F179" s="100">
        <v>226</v>
      </c>
      <c r="G179" s="100">
        <v>244</v>
      </c>
      <c r="H179" s="17" t="s">
        <v>192</v>
      </c>
      <c r="I179" s="100" t="str">
        <f>IF(OR(F179=152,F179=162,F179=510),IF((OR(LEFT(RIGHT(E179,13),1)={"A","D","E","F","G","I","L","N","P","R","S","T","V"})),"Ф",""),"")</f>
        <v/>
      </c>
    </row>
    <row r="180" spans="2:9" x14ac:dyDescent="0.3">
      <c r="D180" s="48" t="str">
        <f>CONCATENATE(УЧРЕЖДЕНИЯ!$A$7)</f>
        <v>МХШ</v>
      </c>
      <c r="E180" s="99" t="s">
        <v>364</v>
      </c>
      <c r="F180" s="100">
        <v>296</v>
      </c>
      <c r="G180" s="100">
        <v>244</v>
      </c>
      <c r="H180" s="17" t="s">
        <v>192</v>
      </c>
      <c r="I180" s="100" t="str">
        <f>IF(OR(F180=152,F180=162,F180=510),IF((OR(LEFT(RIGHT(E180,13),1)={"A","D","E","F","G","I","L","N","P","R","S","T","V"})),"Ф",""),"")</f>
        <v/>
      </c>
    </row>
    <row r="181" spans="2:9" x14ac:dyDescent="0.3">
      <c r="D181" s="48" t="str">
        <f>CONCATENATE(УЧРЕЖДЕНИЯ!$A$7)</f>
        <v>МХШ</v>
      </c>
      <c r="E181" s="99" t="s">
        <v>364</v>
      </c>
      <c r="F181" s="100">
        <v>310</v>
      </c>
      <c r="G181" s="100">
        <v>244</v>
      </c>
      <c r="H181" s="17" t="s">
        <v>192</v>
      </c>
      <c r="I181" s="100" t="str">
        <f>IF(OR(F181=152,F181=162,F181=510),IF((OR(LEFT(RIGHT(E181,13),1)={"A","D","E","F","G","I","L","N","P","R","S","T","V"})),"Ф",""),"")</f>
        <v/>
      </c>
    </row>
    <row r="182" spans="2:9" x14ac:dyDescent="0.3">
      <c r="D182" s="48" t="str">
        <f>CONCATENATE(УЧРЕЖДЕНИЯ!$A$7)</f>
        <v>МХШ</v>
      </c>
      <c r="E182" s="99" t="s">
        <v>364</v>
      </c>
      <c r="F182" s="100">
        <v>345</v>
      </c>
      <c r="G182" s="100">
        <v>244</v>
      </c>
      <c r="H182" s="17" t="s">
        <v>192</v>
      </c>
      <c r="I182" s="100" t="str">
        <f>IF(OR(F182=152,F182=162,F182=510),IF((OR(LEFT(RIGHT(E182,13),1)={"A","D","E","F","G","I","L","N","P","R","S","T","V"})),"Ф",""),"")</f>
        <v/>
      </c>
    </row>
    <row r="183" spans="2:9" x14ac:dyDescent="0.3">
      <c r="D183" s="48" t="str">
        <f>CONCATENATE(УЧРЕЖДЕНИЯ!$A$7)</f>
        <v>МХШ</v>
      </c>
      <c r="E183" s="99" t="s">
        <v>364</v>
      </c>
      <c r="F183" s="100">
        <v>346</v>
      </c>
      <c r="G183" s="100">
        <v>244</v>
      </c>
      <c r="H183" s="17" t="s">
        <v>192</v>
      </c>
      <c r="I183" s="100" t="str">
        <f>IF(OR(F183=152,F183=162,F183=510),IF((OR(LEFT(RIGHT(E183,13),1)={"A","D","E","F","G","I","L","N","P","R","S","T","V"})),"Ф",""),"")</f>
        <v/>
      </c>
    </row>
    <row r="184" spans="2:9" x14ac:dyDescent="0.3">
      <c r="D184" s="48" t="str">
        <f>CONCATENATE(УЧРЕЖДЕНИЯ!$A$7)</f>
        <v>МХШ</v>
      </c>
      <c r="E184" s="99" t="s">
        <v>364</v>
      </c>
      <c r="F184" s="100">
        <v>349</v>
      </c>
      <c r="G184" s="100">
        <v>244</v>
      </c>
      <c r="H184" s="17" t="s">
        <v>192</v>
      </c>
      <c r="I184" s="100" t="str">
        <f>IF(OR(F184=152,F184=162,F184=510),IF((OR(LEFT(RIGHT(E184,13),1)={"A","D","E","F","G","I","L","N","P","R","S","T","V"})),"Ф",""),"")</f>
        <v/>
      </c>
    </row>
    <row r="185" spans="2:9" x14ac:dyDescent="0.3">
      <c r="D185" s="48" t="str">
        <f>CONCATENATE(УЧРЕЖДЕНИЯ!$A$7)</f>
        <v>МХШ</v>
      </c>
      <c r="E185" s="99" t="s">
        <v>362</v>
      </c>
      <c r="F185" s="100">
        <v>510</v>
      </c>
      <c r="G185" s="102">
        <v>510</v>
      </c>
      <c r="H185" s="17" t="s">
        <v>192</v>
      </c>
      <c r="I185" s="100" t="str">
        <f>IF(OR(F185=152,F185=162,F185=510),IF((OR(LEFT(RIGHT(E185,13),1)={"A","D","E","F","G","I","L","N","P","R","S","T","V"})),"Ф",""),"")</f>
        <v/>
      </c>
    </row>
    <row r="186" spans="2:9" x14ac:dyDescent="0.3">
      <c r="B186" s="48" t="s">
        <v>735</v>
      </c>
      <c r="C186" s="48" t="s">
        <v>134</v>
      </c>
      <c r="D186" s="48" t="str">
        <f>CONCATENATE(УЧРЕЖДЕНИЯ!$A$8)</f>
        <v>ЦБС</v>
      </c>
      <c r="E186" s="99" t="s">
        <v>347</v>
      </c>
      <c r="F186" s="102">
        <v>131</v>
      </c>
      <c r="G186" s="102">
        <v>130</v>
      </c>
      <c r="H186" s="17" t="s">
        <v>196</v>
      </c>
      <c r="I186" s="100" t="str">
        <f>IF(OR(F186=152,F186=162,F186=510),IF((OR(LEFT(RIGHT(E186,13),1)={"A","D","E","F","G","I","L","N","P","R","S","T","V"})),"Ф",""),"")</f>
        <v/>
      </c>
    </row>
    <row r="187" spans="2:9" x14ac:dyDescent="0.3">
      <c r="D187" s="48" t="str">
        <f>CONCATENATE(УЧРЕЖДЕНИЯ!$A$8)</f>
        <v>ЦБС</v>
      </c>
      <c r="E187" s="99" t="s">
        <v>348</v>
      </c>
      <c r="F187" s="102">
        <v>211</v>
      </c>
      <c r="G187" s="102">
        <v>111</v>
      </c>
      <c r="H187" s="17" t="s">
        <v>196</v>
      </c>
      <c r="I187" s="100" t="str">
        <f>IF(OR(F187=152,F187=162,F187=510),IF((OR(LEFT(RIGHT(E187,13),1)={"A","D","E","F","G","I","L","N","P","R","S","T","V"})),"Ф",""),"")</f>
        <v/>
      </c>
    </row>
    <row r="188" spans="2:9" x14ac:dyDescent="0.3">
      <c r="D188" s="48" t="str">
        <f>CONCATENATE(УЧРЕЖДЕНИЯ!$A$8)</f>
        <v>ЦБС</v>
      </c>
      <c r="E188" s="99" t="s">
        <v>349</v>
      </c>
      <c r="F188" s="102">
        <v>212</v>
      </c>
      <c r="G188" s="102">
        <v>112</v>
      </c>
      <c r="H188" s="17" t="s">
        <v>196</v>
      </c>
      <c r="I188" s="100" t="str">
        <f>IF(OR(F188=152,F188=162,F188=510),IF((OR(LEFT(RIGHT(E188,13),1)={"A","D","E","F","G","I","L","N","P","R","S","T","V"})),"Ф",""),"")</f>
        <v/>
      </c>
    </row>
    <row r="189" spans="2:9" x14ac:dyDescent="0.3">
      <c r="D189" s="48" t="str">
        <f>CONCATENATE(УЧРЕЖДЕНИЯ!$A$8)</f>
        <v>ЦБС</v>
      </c>
      <c r="E189" s="99" t="s">
        <v>349</v>
      </c>
      <c r="F189" s="102">
        <v>226</v>
      </c>
      <c r="G189" s="102">
        <v>112</v>
      </c>
      <c r="H189" s="17" t="s">
        <v>196</v>
      </c>
      <c r="I189" s="100" t="str">
        <f>IF(OR(F189=152,F189=162,F189=510),IF((OR(LEFT(RIGHT(E189,13),1)={"A","D","E","F","G","I","L","N","P","R","S","T","V"})),"Ф",""),"")</f>
        <v/>
      </c>
    </row>
    <row r="190" spans="2:9" x14ac:dyDescent="0.3">
      <c r="D190" s="48" t="str">
        <f>CONCATENATE(УЧРЕЖДЕНИЯ!$A$8)</f>
        <v>ЦБС</v>
      </c>
      <c r="E190" s="99" t="s">
        <v>350</v>
      </c>
      <c r="F190" s="102">
        <v>213</v>
      </c>
      <c r="G190" s="102">
        <v>119</v>
      </c>
      <c r="H190" s="17" t="s">
        <v>196</v>
      </c>
      <c r="I190" s="100" t="str">
        <f>IF(OR(F190=152,F190=162,F190=510),IF((OR(LEFT(RIGHT(E190,13),1)={"A","D","E","F","G","I","L","N","P","R","S","T","V"})),"Ф",""),"")</f>
        <v/>
      </c>
    </row>
    <row r="191" spans="2:9" x14ac:dyDescent="0.3">
      <c r="D191" s="48" t="str">
        <f>CONCATENATE(УЧРЕЖДЕНИЯ!$A$8)</f>
        <v>ЦБС</v>
      </c>
      <c r="E191" s="99" t="s">
        <v>351</v>
      </c>
      <c r="F191" s="102">
        <v>221</v>
      </c>
      <c r="G191" s="102">
        <v>244</v>
      </c>
      <c r="H191" s="17" t="s">
        <v>196</v>
      </c>
      <c r="I191" s="100" t="str">
        <f>IF(OR(F191=152,F191=162,F191=510),IF((OR(LEFT(RIGHT(E191,13),1)={"A","D","E","F","G","I","L","N","P","R","S","T","V"})),"Ф",""),"")</f>
        <v/>
      </c>
    </row>
    <row r="192" spans="2:9" x14ac:dyDescent="0.3">
      <c r="D192" s="48" t="str">
        <f>CONCATENATE(УЧРЕЖДЕНИЯ!$A$8)</f>
        <v>ЦБС</v>
      </c>
      <c r="E192" s="99" t="s">
        <v>351</v>
      </c>
      <c r="F192" s="102">
        <v>222</v>
      </c>
      <c r="G192" s="102">
        <v>244</v>
      </c>
      <c r="H192" s="17" t="s">
        <v>196</v>
      </c>
      <c r="I192" s="100" t="str">
        <f>IF(OR(F192=152,F192=162,F192=510),IF((OR(LEFT(RIGHT(E192,13),1)={"A","D","E","F","G","I","L","N","P","R","S","T","V"})),"Ф",""),"")</f>
        <v/>
      </c>
    </row>
    <row r="193" spans="4:9" x14ac:dyDescent="0.3">
      <c r="D193" s="48" t="str">
        <f>CONCATENATE(УЧРЕЖДЕНИЯ!$A$8)</f>
        <v>ЦБС</v>
      </c>
      <c r="E193" s="99" t="s">
        <v>352</v>
      </c>
      <c r="F193" s="102">
        <v>2233</v>
      </c>
      <c r="G193" s="102">
        <v>244</v>
      </c>
      <c r="H193" s="17" t="s">
        <v>196</v>
      </c>
      <c r="I193" s="100" t="str">
        <f>IF(OR(F193=152,F193=162,F193=510),IF((OR(LEFT(RIGHT(E193,13),1)={"A","D","E","F","G","I","L","N","P","R","S","T","V"})),"Ф",""),"")</f>
        <v/>
      </c>
    </row>
    <row r="194" spans="4:9" x14ac:dyDescent="0.3">
      <c r="D194" s="48" t="str">
        <f>CONCATENATE(УЧРЕЖДЕНИЯ!$A$8)</f>
        <v>ЦБС</v>
      </c>
      <c r="E194" s="99" t="s">
        <v>351</v>
      </c>
      <c r="F194" s="102">
        <v>224</v>
      </c>
      <c r="G194" s="102">
        <v>244</v>
      </c>
      <c r="H194" s="17" t="s">
        <v>196</v>
      </c>
      <c r="I194" s="100" t="str">
        <f>IF(OR(F194=152,F194=162,F194=510),IF((OR(LEFT(RIGHT(E194,13),1)={"A","D","E","F","G","I","L","N","P","R","S","T","V"})),"Ф",""),"")</f>
        <v/>
      </c>
    </row>
    <row r="195" spans="4:9" x14ac:dyDescent="0.3">
      <c r="D195" s="48" t="str">
        <f>CONCATENATE(УЧРЕЖДЕНИЯ!$A$8)</f>
        <v>ЦБС</v>
      </c>
      <c r="E195" s="99" t="s">
        <v>351</v>
      </c>
      <c r="F195" s="102">
        <v>225</v>
      </c>
      <c r="G195" s="102">
        <v>244</v>
      </c>
      <c r="H195" s="17" t="s">
        <v>196</v>
      </c>
      <c r="I195" s="100" t="str">
        <f>IF(OR(F195=152,F195=162,F195=510),IF((OR(LEFT(RIGHT(E195,13),1)={"A","D","E","F","G","I","L","N","P","R","S","T","V"})),"Ф",""),"")</f>
        <v/>
      </c>
    </row>
    <row r="196" spans="4:9" x14ac:dyDescent="0.3">
      <c r="D196" s="48" t="str">
        <f>CONCATENATE(УЧРЕЖДЕНИЯ!$A$8)</f>
        <v>ЦБС</v>
      </c>
      <c r="E196" s="99" t="s">
        <v>351</v>
      </c>
      <c r="F196" s="102">
        <v>226</v>
      </c>
      <c r="G196" s="102">
        <v>244</v>
      </c>
      <c r="H196" s="17" t="s">
        <v>196</v>
      </c>
      <c r="I196" s="100" t="str">
        <f>IF(OR(F196=152,F196=162,F196=510),IF((OR(LEFT(RIGHT(E196,13),1)={"A","D","E","F","G","I","L","N","P","R","S","T","V"})),"Ф",""),"")</f>
        <v/>
      </c>
    </row>
    <row r="197" spans="4:9" x14ac:dyDescent="0.3">
      <c r="D197" s="48" t="str">
        <f>CONCATENATE(УЧРЕЖДЕНИЯ!$A$8)</f>
        <v>ЦБС</v>
      </c>
      <c r="E197" s="99" t="s">
        <v>351</v>
      </c>
      <c r="F197" s="102">
        <v>296</v>
      </c>
      <c r="G197" s="102">
        <v>244</v>
      </c>
      <c r="H197" s="17" t="s">
        <v>196</v>
      </c>
      <c r="I197" s="100" t="str">
        <f>IF(OR(F197=152,F197=162,F197=510),IF((OR(LEFT(RIGHT(E197,13),1)={"A","D","E","F","G","I","L","N","P","R","S","T","V"})),"Ф",""),"")</f>
        <v/>
      </c>
    </row>
    <row r="198" spans="4:9" x14ac:dyDescent="0.3">
      <c r="D198" s="48" t="str">
        <f>CONCATENATE(УЧРЕЖДЕНИЯ!$A$8)</f>
        <v>ЦБС</v>
      </c>
      <c r="E198" s="99" t="s">
        <v>351</v>
      </c>
      <c r="F198" s="102">
        <v>310</v>
      </c>
      <c r="G198" s="102">
        <v>244</v>
      </c>
      <c r="H198" s="17" t="s">
        <v>196</v>
      </c>
      <c r="I198" s="100" t="str">
        <f>IF(OR(F198=152,F198=162,F198=510),IF((OR(LEFT(RIGHT(E198,13),1)={"A","D","E","F","G","I","L","N","P","R","S","T","V"})),"Ф",""),"")</f>
        <v/>
      </c>
    </row>
    <row r="199" spans="4:9" x14ac:dyDescent="0.3">
      <c r="D199" s="48" t="str">
        <f>CONCATENATE(УЧРЕЖДЕНИЯ!$A$8)</f>
        <v>ЦБС</v>
      </c>
      <c r="E199" s="99" t="s">
        <v>351</v>
      </c>
      <c r="F199" s="102">
        <v>341</v>
      </c>
      <c r="G199" s="102">
        <v>244</v>
      </c>
      <c r="H199" s="17" t="s">
        <v>196</v>
      </c>
      <c r="I199" s="100" t="str">
        <f>IF(OR(F199=152,F199=162,F199=510),IF((OR(LEFT(RIGHT(E199,13),1)={"A","D","E","F","G","I","L","N","P","R","S","T","V"})),"Ф",""),"")</f>
        <v/>
      </c>
    </row>
    <row r="200" spans="4:9" x14ac:dyDescent="0.3">
      <c r="D200" s="48" t="str">
        <f>CONCATENATE(УЧРЕЖДЕНИЯ!$A$8)</f>
        <v>ЦБС</v>
      </c>
      <c r="E200" s="99" t="s">
        <v>351</v>
      </c>
      <c r="F200" s="102">
        <v>344</v>
      </c>
      <c r="G200" s="102">
        <v>244</v>
      </c>
      <c r="H200" s="17" t="s">
        <v>196</v>
      </c>
      <c r="I200" s="100" t="str">
        <f>IF(OR(F200=152,F200=162,F200=510),IF((OR(LEFT(RIGHT(E200,13),1)={"A","D","E","F","G","I","L","N","P","R","S","T","V"})),"Ф",""),"")</f>
        <v/>
      </c>
    </row>
    <row r="201" spans="4:9" x14ac:dyDescent="0.3">
      <c r="D201" s="48" t="str">
        <f>CONCATENATE(УЧРЕЖДЕНИЯ!$A$8)</f>
        <v>ЦБС</v>
      </c>
      <c r="E201" s="99" t="s">
        <v>351</v>
      </c>
      <c r="F201" s="102">
        <v>345</v>
      </c>
      <c r="G201" s="102">
        <v>244</v>
      </c>
      <c r="H201" s="17" t="s">
        <v>196</v>
      </c>
      <c r="I201" s="100" t="str">
        <f>IF(OR(F201=152,F201=162,F201=510),IF((OR(LEFT(RIGHT(E201,13),1)={"A","D","E","F","G","I","L","N","P","R","S","T","V"})),"Ф",""),"")</f>
        <v/>
      </c>
    </row>
    <row r="202" spans="4:9" x14ac:dyDescent="0.3">
      <c r="D202" s="48" t="str">
        <f>CONCATENATE(УЧРЕЖДЕНИЯ!$A$8)</f>
        <v>ЦБС</v>
      </c>
      <c r="E202" s="99" t="s">
        <v>351</v>
      </c>
      <c r="F202" s="102">
        <v>346</v>
      </c>
      <c r="G202" s="102">
        <v>244</v>
      </c>
      <c r="H202" s="17" t="s">
        <v>196</v>
      </c>
      <c r="I202" s="100" t="str">
        <f>IF(OR(F202=152,F202=162,F202=510),IF((OR(LEFT(RIGHT(E202,13),1)={"A","D","E","F","G","I","L","N","P","R","S","T","V"})),"Ф",""),"")</f>
        <v/>
      </c>
    </row>
    <row r="203" spans="4:9" x14ac:dyDescent="0.3">
      <c r="D203" s="48" t="str">
        <f>CONCATENATE(УЧРЕЖДЕНИЯ!$A$8)</f>
        <v>ЦБС</v>
      </c>
      <c r="E203" s="99" t="s">
        <v>351</v>
      </c>
      <c r="F203" s="102">
        <v>349</v>
      </c>
      <c r="G203" s="102">
        <v>244</v>
      </c>
      <c r="H203" s="17" t="s">
        <v>196</v>
      </c>
      <c r="I203" s="100" t="str">
        <f>IF(OR(F203=152,F203=162,F203=510),IF((OR(LEFT(RIGHT(E203,13),1)={"A","D","E","F","G","I","L","N","P","R","S","T","V"})),"Ф",""),"")</f>
        <v/>
      </c>
    </row>
    <row r="204" spans="4:9" x14ac:dyDescent="0.3">
      <c r="D204" s="48" t="str">
        <f>CONCATENATE(УЧРЕЖДЕНИЯ!$A$8)</f>
        <v>ЦБС</v>
      </c>
      <c r="E204" s="99" t="s">
        <v>683</v>
      </c>
      <c r="F204" s="102">
        <v>2231</v>
      </c>
      <c r="G204" s="102">
        <v>247</v>
      </c>
      <c r="H204" s="17" t="s">
        <v>196</v>
      </c>
      <c r="I204" s="100" t="str">
        <f>IF(OR(F204=152,F204=162,F204=510),IF((OR(LEFT(RIGHT(E204,13),1)={"A","D","E","F","G","I","L","N","P","R","S","T","V"})),"Ф",""),"")</f>
        <v/>
      </c>
    </row>
    <row r="205" spans="4:9" x14ac:dyDescent="0.3">
      <c r="D205" s="48" t="str">
        <f>CONCATENATE(УЧРЕЖДЕНИЯ!$A$8)</f>
        <v>ЦБС</v>
      </c>
      <c r="E205" s="99" t="s">
        <v>695</v>
      </c>
      <c r="F205" s="102">
        <v>2232</v>
      </c>
      <c r="G205" s="102">
        <v>247</v>
      </c>
      <c r="H205" s="17" t="s">
        <v>196</v>
      </c>
      <c r="I205" s="100" t="str">
        <f>IF(OR(F205=152,F205=162,F205=510),IF((OR(LEFT(RIGHT(E205,13),1)={"A","D","E","F","G","I","L","N","P","R","S","T","V"})),"Ф",""),"")</f>
        <v/>
      </c>
    </row>
    <row r="206" spans="4:9" x14ac:dyDescent="0.3">
      <c r="D206" s="48" t="str">
        <f>CONCATENATE(УЧРЕЖДЕНИЯ!$A$8)</f>
        <v>ЦБС</v>
      </c>
      <c r="E206" s="99" t="s">
        <v>353</v>
      </c>
      <c r="F206" s="102">
        <v>262</v>
      </c>
      <c r="G206" s="102">
        <v>360</v>
      </c>
      <c r="H206" s="17" t="s">
        <v>196</v>
      </c>
      <c r="I206" s="100" t="str">
        <f>IF(OR(F206=152,F206=162,F206=510),IF((OR(LEFT(RIGHT(E206,13),1)={"A","D","E","F","G","I","L","N","P","R","S","T","V"})),"Ф",""),"")</f>
        <v/>
      </c>
    </row>
    <row r="207" spans="4:9" x14ac:dyDescent="0.3">
      <c r="D207" s="48" t="str">
        <f>CONCATENATE(УЧРЕЖДЕНИЯ!$A$8)</f>
        <v>ЦБС</v>
      </c>
      <c r="E207" s="99" t="s">
        <v>346</v>
      </c>
      <c r="F207" s="102">
        <v>510</v>
      </c>
      <c r="G207" s="102">
        <v>510</v>
      </c>
      <c r="H207" s="17" t="s">
        <v>196</v>
      </c>
      <c r="I207" s="100" t="str">
        <f>IF(OR(F207=152,F207=162,F207=510),IF((OR(LEFT(RIGHT(E207,13),1)={"A","D","E","F","G","I","L","N","P","R","S","T","V"})),"Ф",""),"")</f>
        <v/>
      </c>
    </row>
    <row r="208" spans="4:9" x14ac:dyDescent="0.3">
      <c r="D208" s="48" t="str">
        <f>CONCATENATE(УЧРЕЖДЕНИЯ!$A$8)</f>
        <v>ЦБС</v>
      </c>
      <c r="E208" s="99" t="s">
        <v>358</v>
      </c>
      <c r="F208" s="102">
        <v>296</v>
      </c>
      <c r="G208" s="102">
        <v>831</v>
      </c>
      <c r="H208" s="17" t="s">
        <v>196</v>
      </c>
      <c r="I208" s="100" t="str">
        <f>IF(OR(F208=152,F208=162,F208=510),IF((OR(LEFT(RIGHT(E208,13),1)={"A","D","E","F","G","I","L","N","P","R","S","T","V"})),"Ф",""),"")</f>
        <v/>
      </c>
    </row>
    <row r="209" spans="2:9" x14ac:dyDescent="0.3">
      <c r="D209" s="48" t="str">
        <f>CONCATENATE(УЧРЕЖДЕНИЯ!$A$8)</f>
        <v>ЦБС</v>
      </c>
      <c r="E209" s="99" t="s">
        <v>354</v>
      </c>
      <c r="F209" s="102">
        <v>291</v>
      </c>
      <c r="G209" s="102">
        <v>851</v>
      </c>
      <c r="H209" s="17" t="s">
        <v>196</v>
      </c>
      <c r="I209" s="100" t="str">
        <f>IF(OR(F209=152,F209=162,F209=510),IF((OR(LEFT(RIGHT(E209,13),1)={"A","D","E","F","G","I","L","N","P","R","S","T","V"})),"Ф",""),"")</f>
        <v/>
      </c>
    </row>
    <row r="210" spans="2:9" x14ac:dyDescent="0.3">
      <c r="D210" s="48" t="str">
        <f>CONCATENATE(УЧРЕЖДЕНИЯ!$A$8)</f>
        <v>ЦБС</v>
      </c>
      <c r="E210" s="99" t="s">
        <v>355</v>
      </c>
      <c r="F210" s="102">
        <v>291</v>
      </c>
      <c r="G210" s="102">
        <v>852</v>
      </c>
      <c r="H210" s="17" t="s">
        <v>196</v>
      </c>
      <c r="I210" s="100" t="str">
        <f>IF(OR(F210=152,F210=162,F210=510),IF((OR(LEFT(RIGHT(E210,13),1)={"A","D","E","F","G","I","L","N","P","R","S","T","V"})),"Ф",""),"")</f>
        <v/>
      </c>
    </row>
    <row r="211" spans="2:9" x14ac:dyDescent="0.3">
      <c r="D211" s="48" t="str">
        <f>CONCATENATE(УЧРЕЖДЕНИЯ!$A$8)</f>
        <v>ЦБС</v>
      </c>
      <c r="E211" s="99" t="s">
        <v>356</v>
      </c>
      <c r="F211" s="102">
        <v>291</v>
      </c>
      <c r="G211" s="102">
        <v>853</v>
      </c>
      <c r="H211" s="17" t="s">
        <v>196</v>
      </c>
      <c r="I211" s="100" t="str">
        <f>IF(OR(F211=152,F211=162,F211=510),IF((OR(LEFT(RIGHT(E211,13),1)={"A","D","E","F","G","I","L","N","P","R","S","T","V"})),"Ф",""),"")</f>
        <v/>
      </c>
    </row>
    <row r="212" spans="2:9" x14ac:dyDescent="0.3">
      <c r="D212" s="48" t="str">
        <f>CONCATENATE(УЧРЕЖДЕНИЯ!$A$8)</f>
        <v>ЦБС</v>
      </c>
      <c r="E212" s="99" t="s">
        <v>356</v>
      </c>
      <c r="F212" s="102">
        <v>292</v>
      </c>
      <c r="G212" s="102">
        <v>853</v>
      </c>
      <c r="H212" s="17" t="s">
        <v>196</v>
      </c>
      <c r="I212" s="100" t="str">
        <f>IF(OR(F212=152,F212=162,F212=510),IF((OR(LEFT(RIGHT(E212,13),1)={"A","D","E","F","G","I","L","N","P","R","S","T","V"})),"Ф",""),"")</f>
        <v/>
      </c>
    </row>
    <row r="213" spans="2:9" x14ac:dyDescent="0.3">
      <c r="D213" s="48" t="str">
        <f>CONCATENATE(УЧРЕЖДЕНИЯ!$A$8)</f>
        <v>ЦБС</v>
      </c>
      <c r="E213" s="99" t="s">
        <v>360</v>
      </c>
      <c r="F213" s="100">
        <v>510</v>
      </c>
      <c r="G213" s="102">
        <v>510</v>
      </c>
      <c r="H213" s="17" t="s">
        <v>196</v>
      </c>
      <c r="I213" s="100" t="str">
        <f>IF(OR(F213=152,F213=162,F213=510),IF((OR(LEFT(RIGHT(E213,13),1)={"A","D","E","F","G","I","L","N","P","R","S","T","V"})),"Ф",""),"")</f>
        <v/>
      </c>
    </row>
    <row r="214" spans="2:9" x14ac:dyDescent="0.3">
      <c r="D214" s="48" t="str">
        <f>CONCATENATE(УЧРЕЖДЕНИЯ!$A$8)</f>
        <v>ЦБС</v>
      </c>
      <c r="E214" s="99" t="s">
        <v>361</v>
      </c>
      <c r="F214" s="100">
        <v>6101</v>
      </c>
      <c r="G214" s="100">
        <v>610</v>
      </c>
      <c r="H214" s="17" t="s">
        <v>196</v>
      </c>
      <c r="I214" s="100" t="str">
        <f>IF(OR(F214=152,F214=162,F214=510),IF((OR(LEFT(RIGHT(E214,13),1)={"A","D","E","F","G","I","L","N","P","R","S","T","V"})),"Ф",""),"")</f>
        <v/>
      </c>
    </row>
    <row r="215" spans="2:9" x14ac:dyDescent="0.3">
      <c r="D215" s="48" t="str">
        <f>CONCATENATE(УЧРЕЖДЕНИЯ!$A$8)</f>
        <v>ЦБС</v>
      </c>
      <c r="E215" s="99" t="s">
        <v>363</v>
      </c>
      <c r="F215" s="100">
        <v>155</v>
      </c>
      <c r="G215" s="100">
        <v>150</v>
      </c>
      <c r="H215" s="17" t="s">
        <v>196</v>
      </c>
      <c r="I215" s="100" t="str">
        <f>IF(OR(F215=152,F215=162,F215=510),IF((OR(LEFT(RIGHT(E215,13),1)={"A","D","E","F","G","I","L","N","P","R","S","T","V"})),"Ф",""),"")</f>
        <v/>
      </c>
    </row>
    <row r="216" spans="2:9" x14ac:dyDescent="0.3">
      <c r="D216" s="48" t="str">
        <f>CONCATENATE(УЧРЕЖДЕНИЯ!$A$8)</f>
        <v>ЦБС</v>
      </c>
      <c r="E216" s="99" t="s">
        <v>364</v>
      </c>
      <c r="F216" s="100">
        <v>225</v>
      </c>
      <c r="G216" s="100">
        <v>244</v>
      </c>
      <c r="H216" s="17" t="s">
        <v>196</v>
      </c>
      <c r="I216" s="100" t="str">
        <f>IF(OR(F216=152,F216=162,F216=510),IF((OR(LEFT(RIGHT(E216,13),1)={"A","D","E","F","G","I","L","N","P","R","S","T","V"})),"Ф",""),"")</f>
        <v/>
      </c>
    </row>
    <row r="217" spans="2:9" x14ac:dyDescent="0.3">
      <c r="D217" s="48" t="str">
        <f>CONCATENATE(УЧРЕЖДЕНИЯ!$A$8)</f>
        <v>ЦБС</v>
      </c>
      <c r="E217" s="99" t="s">
        <v>364</v>
      </c>
      <c r="F217" s="100">
        <v>226</v>
      </c>
      <c r="G217" s="100">
        <v>244</v>
      </c>
      <c r="H217" s="17" t="s">
        <v>196</v>
      </c>
      <c r="I217" s="100" t="str">
        <f>IF(OR(F217=152,F217=162,F217=510),IF((OR(LEFT(RIGHT(E217,13),1)={"A","D","E","F","G","I","L","N","P","R","S","T","V"})),"Ф",""),"")</f>
        <v/>
      </c>
    </row>
    <row r="218" spans="2:9" x14ac:dyDescent="0.3">
      <c r="D218" s="48" t="str">
        <f>CONCATENATE(УЧРЕЖДЕНИЯ!$A$8)</f>
        <v>ЦБС</v>
      </c>
      <c r="E218" s="99" t="s">
        <v>364</v>
      </c>
      <c r="F218" s="100">
        <v>310</v>
      </c>
      <c r="G218" s="100">
        <v>244</v>
      </c>
      <c r="H218" s="17" t="s">
        <v>196</v>
      </c>
      <c r="I218" s="100" t="str">
        <f>IF(OR(F218=152,F218=162,F218=510),IF((OR(LEFT(RIGHT(E218,13),1)={"A","D","E","F","G","I","L","N","P","R","S","T","V"})),"Ф",""),"")</f>
        <v/>
      </c>
    </row>
    <row r="219" spans="2:9" x14ac:dyDescent="0.3">
      <c r="D219" s="48" t="str">
        <f>CONCATENATE(УЧРЕЖДЕНИЯ!$A$8)</f>
        <v>ЦБС</v>
      </c>
      <c r="E219" s="99" t="s">
        <v>362</v>
      </c>
      <c r="F219" s="100">
        <v>510</v>
      </c>
      <c r="G219" s="102">
        <v>510</v>
      </c>
      <c r="H219" s="17" t="s">
        <v>196</v>
      </c>
      <c r="I219" s="100" t="str">
        <f>IF(OR(F219=152,F219=162,F219=510),IF((OR(LEFT(RIGHT(E219,13),1)={"A","D","E","F","G","I","L","N","P","R","S","T","V"})),"Ф",""),"")</f>
        <v/>
      </c>
    </row>
    <row r="220" spans="2:9" x14ac:dyDescent="0.3">
      <c r="B220" s="48" t="s">
        <v>735</v>
      </c>
      <c r="C220" s="48" t="s">
        <v>135</v>
      </c>
      <c r="D220" s="48" t="str">
        <f>CONCATENATE(УЧРЕЖДЕНИЯ!$A$9)</f>
        <v>музей</v>
      </c>
      <c r="E220" s="99" t="s">
        <v>347</v>
      </c>
      <c r="F220" s="102">
        <v>131</v>
      </c>
      <c r="G220" s="102">
        <v>130</v>
      </c>
      <c r="H220" s="17" t="s">
        <v>196</v>
      </c>
      <c r="I220" s="100" t="str">
        <f>IF(OR(F220=152,F220=162,F220=510),IF((OR(LEFT(RIGHT(E220,13),1)={"A","D","E","F","G","I","L","N","P","R","S","T","V"})),"Ф",""),"")</f>
        <v/>
      </c>
    </row>
    <row r="221" spans="2:9" x14ac:dyDescent="0.3">
      <c r="D221" s="48" t="str">
        <f>CONCATENATE(УЧРЕЖДЕНИЯ!$A$9)</f>
        <v>музей</v>
      </c>
      <c r="E221" s="99" t="s">
        <v>348</v>
      </c>
      <c r="F221" s="102">
        <v>211</v>
      </c>
      <c r="G221" s="102">
        <v>111</v>
      </c>
      <c r="H221" s="17" t="s">
        <v>196</v>
      </c>
      <c r="I221" s="100" t="str">
        <f>IF(OR(F221=152,F221=162,F221=510),IF((OR(LEFT(RIGHT(E221,13),1)={"A","D","E","F","G","I","L","N","P","R","S","T","V"})),"Ф",""),"")</f>
        <v/>
      </c>
    </row>
    <row r="222" spans="2:9" x14ac:dyDescent="0.3">
      <c r="D222" s="48" t="str">
        <f>CONCATENATE(УЧРЕЖДЕНИЯ!$A$9)</f>
        <v>музей</v>
      </c>
      <c r="E222" s="99" t="s">
        <v>348</v>
      </c>
      <c r="F222" s="102">
        <v>266</v>
      </c>
      <c r="G222" s="102">
        <v>111</v>
      </c>
      <c r="H222" s="17" t="s">
        <v>196</v>
      </c>
      <c r="I222" s="100" t="str">
        <f>IF(OR(F222=152,F222=162,F222=510),IF((OR(LEFT(RIGHT(E222,13),1)={"A","D","E","F","G","I","L","N","P","R","S","T","V"})),"Ф",""),"")</f>
        <v/>
      </c>
    </row>
    <row r="223" spans="2:9" x14ac:dyDescent="0.3">
      <c r="D223" s="48" t="str">
        <f>CONCATENATE(УЧРЕЖДЕНИЯ!$A$9)</f>
        <v>музей</v>
      </c>
      <c r="E223" s="99" t="s">
        <v>349</v>
      </c>
      <c r="F223" s="102">
        <v>212</v>
      </c>
      <c r="G223" s="102">
        <v>112</v>
      </c>
      <c r="H223" s="17" t="s">
        <v>196</v>
      </c>
      <c r="I223" s="100" t="str">
        <f>IF(OR(F223=152,F223=162,F223=510),IF((OR(LEFT(RIGHT(E223,13),1)={"A","D","E","F","G","I","L","N","P","R","S","T","V"})),"Ф",""),"")</f>
        <v/>
      </c>
    </row>
    <row r="224" spans="2:9" x14ac:dyDescent="0.3">
      <c r="D224" s="48" t="str">
        <f>CONCATENATE(УЧРЕЖДЕНИЯ!$A$9)</f>
        <v>музей</v>
      </c>
      <c r="E224" s="99" t="s">
        <v>349</v>
      </c>
      <c r="F224" s="102">
        <v>226</v>
      </c>
      <c r="G224" s="102">
        <v>112</v>
      </c>
      <c r="H224" s="17" t="s">
        <v>196</v>
      </c>
      <c r="I224" s="100" t="str">
        <f>IF(OR(F224=152,F224=162,F224=510),IF((OR(LEFT(RIGHT(E224,13),1)={"A","D","E","F","G","I","L","N","P","R","S","T","V"})),"Ф",""),"")</f>
        <v/>
      </c>
    </row>
    <row r="225" spans="4:9" x14ac:dyDescent="0.3">
      <c r="D225" s="48" t="str">
        <f>CONCATENATE(УЧРЕЖДЕНИЯ!$A$9)</f>
        <v>музей</v>
      </c>
      <c r="E225" s="99" t="s">
        <v>349</v>
      </c>
      <c r="F225" s="102">
        <v>266</v>
      </c>
      <c r="G225" s="102">
        <v>112</v>
      </c>
      <c r="H225" s="17" t="s">
        <v>196</v>
      </c>
      <c r="I225" s="100" t="str">
        <f>IF(OR(F225=152,F225=162,F225=510),IF((OR(LEFT(RIGHT(E225,13),1)={"A","D","E","F","G","I","L","N","P","R","S","T","V"})),"Ф",""),"")</f>
        <v/>
      </c>
    </row>
    <row r="226" spans="4:9" x14ac:dyDescent="0.3">
      <c r="D226" s="48" t="str">
        <f>CONCATENATE(УЧРЕЖДЕНИЯ!$A$9)</f>
        <v>музей</v>
      </c>
      <c r="E226" s="99" t="s">
        <v>350</v>
      </c>
      <c r="F226" s="102">
        <v>213</v>
      </c>
      <c r="G226" s="102">
        <v>119</v>
      </c>
      <c r="H226" s="17" t="s">
        <v>196</v>
      </c>
      <c r="I226" s="100" t="str">
        <f>IF(OR(F226=152,F226=162,F226=510),IF((OR(LEFT(RIGHT(E226,13),1)={"A","D","E","F","G","I","L","N","P","R","S","T","V"})),"Ф",""),"")</f>
        <v/>
      </c>
    </row>
    <row r="227" spans="4:9" x14ac:dyDescent="0.3">
      <c r="D227" s="48" t="str">
        <f>CONCATENATE(УЧРЕЖДЕНИЯ!$A$9)</f>
        <v>музей</v>
      </c>
      <c r="E227" s="99" t="s">
        <v>351</v>
      </c>
      <c r="F227" s="102">
        <v>221</v>
      </c>
      <c r="G227" s="102">
        <v>244</v>
      </c>
      <c r="H227" s="17" t="s">
        <v>196</v>
      </c>
      <c r="I227" s="100" t="str">
        <f>IF(OR(F227=152,F227=162,F227=510),IF((OR(LEFT(RIGHT(E227,13),1)={"A","D","E","F","G","I","L","N","P","R","S","T","V"})),"Ф",""),"")</f>
        <v/>
      </c>
    </row>
    <row r="228" spans="4:9" x14ac:dyDescent="0.3">
      <c r="D228" s="48" t="str">
        <f>CONCATENATE(УЧРЕЖДЕНИЯ!$A$9)</f>
        <v>музей</v>
      </c>
      <c r="E228" s="99" t="s">
        <v>351</v>
      </c>
      <c r="F228" s="102">
        <v>222</v>
      </c>
      <c r="G228" s="102">
        <v>244</v>
      </c>
      <c r="H228" s="17" t="s">
        <v>196</v>
      </c>
      <c r="I228" s="100" t="str">
        <f>IF(OR(F228=152,F228=162,F228=510),IF((OR(LEFT(RIGHT(E228,13),1)={"A","D","E","F","G","I","L","N","P","R","S","T","V"})),"Ф",""),"")</f>
        <v/>
      </c>
    </row>
    <row r="229" spans="4:9" x14ac:dyDescent="0.3">
      <c r="D229" s="48" t="str">
        <f>CONCATENATE(УЧРЕЖДЕНИЯ!$A$9)</f>
        <v>музей</v>
      </c>
      <c r="E229" s="99" t="s">
        <v>352</v>
      </c>
      <c r="F229" s="102">
        <v>2233</v>
      </c>
      <c r="G229" s="102">
        <v>244</v>
      </c>
      <c r="H229" s="17" t="s">
        <v>196</v>
      </c>
      <c r="I229" s="100" t="str">
        <f>IF(OR(F229=152,F229=162,F229=510),IF((OR(LEFT(RIGHT(E229,13),1)={"A","D","E","F","G","I","L","N","P","R","S","T","V"})),"Ф",""),"")</f>
        <v/>
      </c>
    </row>
    <row r="230" spans="4:9" x14ac:dyDescent="0.3">
      <c r="D230" s="48" t="str">
        <f>CONCATENATE(УЧРЕЖДЕНИЯ!$A$9)</f>
        <v>музей</v>
      </c>
      <c r="E230" s="99" t="s">
        <v>351</v>
      </c>
      <c r="F230" s="102">
        <v>224</v>
      </c>
      <c r="G230" s="102">
        <v>244</v>
      </c>
      <c r="H230" s="17" t="s">
        <v>196</v>
      </c>
      <c r="I230" s="100" t="str">
        <f>IF(OR(F230=152,F230=162,F230=510),IF((OR(LEFT(RIGHT(E230,13),1)={"A","D","E","F","G","I","L","N","P","R","S","T","V"})),"Ф",""),"")</f>
        <v/>
      </c>
    </row>
    <row r="231" spans="4:9" x14ac:dyDescent="0.3">
      <c r="D231" s="48" t="str">
        <f>CONCATENATE(УЧРЕЖДЕНИЯ!$A$9)</f>
        <v>музей</v>
      </c>
      <c r="E231" s="99" t="s">
        <v>351</v>
      </c>
      <c r="F231" s="102">
        <v>225</v>
      </c>
      <c r="G231" s="102">
        <v>244</v>
      </c>
      <c r="H231" s="17" t="s">
        <v>196</v>
      </c>
      <c r="I231" s="100" t="str">
        <f>IF(OR(F231=152,F231=162,F231=510),IF((OR(LEFT(RIGHT(E231,13),1)={"A","D","E","F","G","I","L","N","P","R","S","T","V"})),"Ф",""),"")</f>
        <v/>
      </c>
    </row>
    <row r="232" spans="4:9" x14ac:dyDescent="0.3">
      <c r="D232" s="48" t="str">
        <f>CONCATENATE(УЧРЕЖДЕНИЯ!$A$9)</f>
        <v>музей</v>
      </c>
      <c r="E232" s="99" t="s">
        <v>351</v>
      </c>
      <c r="F232" s="102">
        <v>226</v>
      </c>
      <c r="G232" s="102">
        <v>244</v>
      </c>
      <c r="H232" s="17" t="s">
        <v>196</v>
      </c>
      <c r="I232" s="100" t="str">
        <f>IF(OR(F232=152,F232=162,F232=510),IF((OR(LEFT(RIGHT(E232,13),1)={"A","D","E","F","G","I","L","N","P","R","S","T","V"})),"Ф",""),"")</f>
        <v/>
      </c>
    </row>
    <row r="233" spans="4:9" x14ac:dyDescent="0.3">
      <c r="D233" s="48" t="str">
        <f>CONCATENATE(УЧРЕЖДЕНИЯ!$A$9)</f>
        <v>музей</v>
      </c>
      <c r="E233" s="99" t="s">
        <v>351</v>
      </c>
      <c r="F233" s="102">
        <v>296</v>
      </c>
      <c r="G233" s="102">
        <v>244</v>
      </c>
      <c r="H233" s="17" t="s">
        <v>196</v>
      </c>
      <c r="I233" s="100" t="str">
        <f>IF(OR(F233=152,F233=162,F233=510),IF((OR(LEFT(RIGHT(E233,13),1)={"A","D","E","F","G","I","L","N","P","R","S","T","V"})),"Ф",""),"")</f>
        <v/>
      </c>
    </row>
    <row r="234" spans="4:9" x14ac:dyDescent="0.3">
      <c r="D234" s="48" t="str">
        <f>CONCATENATE(УЧРЕЖДЕНИЯ!$A$9)</f>
        <v>музей</v>
      </c>
      <c r="E234" s="99" t="s">
        <v>351</v>
      </c>
      <c r="F234" s="102">
        <v>310</v>
      </c>
      <c r="G234" s="102">
        <v>244</v>
      </c>
      <c r="H234" s="17" t="s">
        <v>196</v>
      </c>
      <c r="I234" s="100" t="str">
        <f>IF(OR(F234=152,F234=162,F234=510),IF((OR(LEFT(RIGHT(E234,13),1)={"A","D","E","F","G","I","L","N","P","R","S","T","V"})),"Ф",""),"")</f>
        <v/>
      </c>
    </row>
    <row r="235" spans="4:9" x14ac:dyDescent="0.3">
      <c r="D235" s="48" t="str">
        <f>CONCATENATE(УЧРЕЖДЕНИЯ!$A$9)</f>
        <v>музей</v>
      </c>
      <c r="E235" s="99" t="s">
        <v>351</v>
      </c>
      <c r="F235" s="102">
        <v>344</v>
      </c>
      <c r="G235" s="102">
        <v>244</v>
      </c>
      <c r="H235" s="17" t="s">
        <v>196</v>
      </c>
      <c r="I235" s="100" t="str">
        <f>IF(OR(F235=152,F235=162,F235=510),IF((OR(LEFT(RIGHT(E235,13),1)={"A","D","E","F","G","I","L","N","P","R","S","T","V"})),"Ф",""),"")</f>
        <v/>
      </c>
    </row>
    <row r="236" spans="4:9" x14ac:dyDescent="0.3">
      <c r="D236" s="48" t="str">
        <f>CONCATENATE(УЧРЕЖДЕНИЯ!$A$9)</f>
        <v>музей</v>
      </c>
      <c r="E236" s="99" t="s">
        <v>351</v>
      </c>
      <c r="F236" s="102">
        <v>345</v>
      </c>
      <c r="G236" s="102">
        <v>244</v>
      </c>
      <c r="H236" s="17" t="s">
        <v>196</v>
      </c>
      <c r="I236" s="100" t="str">
        <f>IF(OR(F236=152,F236=162,F236=510),IF((OR(LEFT(RIGHT(E236,13),1)={"A","D","E","F","G","I","L","N","P","R","S","T","V"})),"Ф",""),"")</f>
        <v/>
      </c>
    </row>
    <row r="237" spans="4:9" x14ac:dyDescent="0.3">
      <c r="D237" s="48" t="str">
        <f>CONCATENATE(УЧРЕЖДЕНИЯ!$A$9)</f>
        <v>музей</v>
      </c>
      <c r="E237" s="99" t="s">
        <v>351</v>
      </c>
      <c r="F237" s="102">
        <v>346</v>
      </c>
      <c r="G237" s="102">
        <v>244</v>
      </c>
      <c r="H237" s="17" t="s">
        <v>196</v>
      </c>
      <c r="I237" s="100" t="str">
        <f>IF(OR(F237=152,F237=162,F237=510),IF((OR(LEFT(RIGHT(E237,13),1)={"A","D","E","F","G","I","L","N","P","R","S","T","V"})),"Ф",""),"")</f>
        <v/>
      </c>
    </row>
    <row r="238" spans="4:9" x14ac:dyDescent="0.3">
      <c r="D238" s="48" t="str">
        <f>CONCATENATE(УЧРЕЖДЕНИЯ!$A$9)</f>
        <v>музей</v>
      </c>
      <c r="E238" s="99" t="s">
        <v>351</v>
      </c>
      <c r="F238" s="102">
        <v>349</v>
      </c>
      <c r="G238" s="102">
        <v>244</v>
      </c>
      <c r="H238" s="17" t="s">
        <v>196</v>
      </c>
      <c r="I238" s="100" t="str">
        <f>IF(OR(F238=152,F238=162,F238=510),IF((OR(LEFT(RIGHT(E238,13),1)={"A","D","E","F","G","I","L","N","P","R","S","T","V"})),"Ф",""),"")</f>
        <v/>
      </c>
    </row>
    <row r="239" spans="4:9" x14ac:dyDescent="0.3">
      <c r="D239" s="48" t="str">
        <f>CONCATENATE(УЧРЕЖДЕНИЯ!$A$9)</f>
        <v>музей</v>
      </c>
      <c r="E239" s="99" t="s">
        <v>683</v>
      </c>
      <c r="F239" s="102">
        <v>2231</v>
      </c>
      <c r="G239" s="102">
        <v>247</v>
      </c>
      <c r="H239" s="17" t="s">
        <v>196</v>
      </c>
      <c r="I239" s="100" t="str">
        <f>IF(OR(F239=152,F239=162,F239=510),IF((OR(LEFT(RIGHT(E239,13),1)={"A","D","E","F","G","I","L","N","P","R","S","T","V"})),"Ф",""),"")</f>
        <v/>
      </c>
    </row>
    <row r="240" spans="4:9" x14ac:dyDescent="0.3">
      <c r="D240" s="48" t="str">
        <f>CONCATENATE(УЧРЕЖДЕНИЯ!$A$9)</f>
        <v>музей</v>
      </c>
      <c r="E240" s="99" t="s">
        <v>695</v>
      </c>
      <c r="F240" s="102">
        <v>2232</v>
      </c>
      <c r="G240" s="102">
        <v>247</v>
      </c>
      <c r="H240" s="17" t="s">
        <v>196</v>
      </c>
      <c r="I240" s="100" t="str">
        <f>IF(OR(F240=152,F240=162,F240=510),IF((OR(LEFT(RIGHT(E240,13),1)={"A","D","E","F","G","I","L","N","P","R","S","T","V"})),"Ф",""),"")</f>
        <v/>
      </c>
    </row>
    <row r="241" spans="2:9" x14ac:dyDescent="0.3">
      <c r="D241" s="48" t="str">
        <f>CONCATENATE(УЧРЕЖДЕНИЯ!$A$9)</f>
        <v>музей</v>
      </c>
      <c r="E241" s="99" t="s">
        <v>353</v>
      </c>
      <c r="F241" s="102">
        <v>262</v>
      </c>
      <c r="G241" s="102">
        <v>360</v>
      </c>
      <c r="H241" s="17" t="s">
        <v>196</v>
      </c>
      <c r="I241" s="100" t="str">
        <f>IF(OR(F241=152,F241=162,F241=510),IF((OR(LEFT(RIGHT(E241,13),1)={"A","D","E","F","G","I","L","N","P","R","S","T","V"})),"Ф",""),"")</f>
        <v/>
      </c>
    </row>
    <row r="242" spans="2:9" x14ac:dyDescent="0.3">
      <c r="D242" s="48" t="str">
        <f>CONCATENATE(УЧРЕЖДЕНИЯ!$A$9)</f>
        <v>музей</v>
      </c>
      <c r="E242" s="99" t="s">
        <v>346</v>
      </c>
      <c r="F242" s="102">
        <v>510</v>
      </c>
      <c r="G242" s="102">
        <v>510</v>
      </c>
      <c r="H242" s="17" t="s">
        <v>196</v>
      </c>
      <c r="I242" s="100" t="str">
        <f>IF(OR(F242=152,F242=162,F242=510),IF((OR(LEFT(RIGHT(E242,13),1)={"A","D","E","F","G","I","L","N","P","R","S","T","V"})),"Ф",""),"")</f>
        <v/>
      </c>
    </row>
    <row r="243" spans="2:9" x14ac:dyDescent="0.3">
      <c r="D243" s="48" t="str">
        <f>CONCATENATE(УЧРЕЖДЕНИЯ!$A$9)</f>
        <v>музей</v>
      </c>
      <c r="E243" s="99" t="s">
        <v>354</v>
      </c>
      <c r="F243" s="102">
        <v>291</v>
      </c>
      <c r="G243" s="102">
        <v>851</v>
      </c>
      <c r="H243" s="17" t="s">
        <v>196</v>
      </c>
      <c r="I243" s="100" t="str">
        <f>IF(OR(F243=152,F243=162,F243=510),IF((OR(LEFT(RIGHT(E243,13),1)={"A","D","E","F","G","I","L","N","P","R","S","T","V"})),"Ф",""),"")</f>
        <v/>
      </c>
    </row>
    <row r="244" spans="2:9" x14ac:dyDescent="0.3">
      <c r="D244" s="48" t="str">
        <f>CONCATENATE(УЧРЕЖДЕНИЯ!$A$9)</f>
        <v>музей</v>
      </c>
      <c r="E244" s="99" t="s">
        <v>356</v>
      </c>
      <c r="F244" s="102">
        <v>292</v>
      </c>
      <c r="G244" s="102">
        <v>853</v>
      </c>
      <c r="H244" s="17" t="s">
        <v>196</v>
      </c>
      <c r="I244" s="100" t="str">
        <f>IF(OR(F244=152,F244=162,F244=510),IF((OR(LEFT(RIGHT(E244,13),1)={"A","D","E","F","G","I","L","N","P","R","S","T","V"})),"Ф",""),"")</f>
        <v/>
      </c>
    </row>
    <row r="245" spans="2:9" x14ac:dyDescent="0.3">
      <c r="D245" s="48" t="str">
        <f>CONCATENATE(УЧРЕЖДЕНИЯ!$A$9)</f>
        <v>музей</v>
      </c>
      <c r="E245" s="99" t="s">
        <v>356</v>
      </c>
      <c r="F245" s="102">
        <v>293</v>
      </c>
      <c r="G245" s="102">
        <v>853</v>
      </c>
      <c r="H245" s="17" t="s">
        <v>196</v>
      </c>
      <c r="I245" s="100" t="str">
        <f>IF(OR(F245=152,F245=162,F245=510),IF((OR(LEFT(RIGHT(E245,13),1)={"A","D","E","F","G","I","L","N","P","R","S","T","V"})),"Ф",""),"")</f>
        <v/>
      </c>
    </row>
    <row r="246" spans="2:9" x14ac:dyDescent="0.3">
      <c r="D246" s="48" t="str">
        <f>CONCATENATE(УЧРЕЖДЕНИЯ!$A$9)</f>
        <v>музей</v>
      </c>
      <c r="E246" s="99" t="s">
        <v>360</v>
      </c>
      <c r="F246" s="100">
        <v>510</v>
      </c>
      <c r="G246" s="102">
        <v>510</v>
      </c>
      <c r="H246" s="17" t="s">
        <v>196</v>
      </c>
      <c r="I246" s="100" t="str">
        <f>IF(OR(F246=152,F246=162,F246=510),IF((OR(LEFT(RIGHT(E246,13),1)={"A","D","E","F","G","I","L","N","P","R","S","T","V"})),"Ф",""),"")</f>
        <v/>
      </c>
    </row>
    <row r="247" spans="2:9" x14ac:dyDescent="0.3">
      <c r="D247" s="48" t="str">
        <f>CONCATENATE(УЧРЕЖДЕНИЯ!$A$9)</f>
        <v>музей</v>
      </c>
      <c r="E247" s="99" t="s">
        <v>361</v>
      </c>
      <c r="F247" s="100">
        <v>6101</v>
      </c>
      <c r="G247" s="100">
        <v>610</v>
      </c>
      <c r="H247" s="17" t="s">
        <v>196</v>
      </c>
      <c r="I247" s="100" t="str">
        <f>IF(OR(F247=152,F247=162,F247=510),IF((OR(LEFT(RIGHT(E247,13),1)={"A","D","E","F","G","I","L","N","P","R","S","T","V"})),"Ф",""),"")</f>
        <v/>
      </c>
    </row>
    <row r="248" spans="2:9" x14ac:dyDescent="0.3">
      <c r="D248" s="48" t="str">
        <f>CONCATENATE(УЧРЕЖДЕНИЯ!$A$9)</f>
        <v>музей</v>
      </c>
      <c r="E248" s="99" t="s">
        <v>363</v>
      </c>
      <c r="F248" s="100">
        <v>155</v>
      </c>
      <c r="G248" s="100">
        <v>150</v>
      </c>
      <c r="H248" s="17" t="s">
        <v>196</v>
      </c>
      <c r="I248" s="100" t="str">
        <f>IF(OR(F248=152,F248=162,F248=510),IF((OR(LEFT(RIGHT(E248,13),1)={"A","D","E","F","G","I","L","N","P","R","S","T","V"})),"Ф",""),"")</f>
        <v/>
      </c>
    </row>
    <row r="249" spans="2:9" x14ac:dyDescent="0.3">
      <c r="D249" s="48" t="str">
        <f>CONCATENATE(УЧРЕЖДЕНИЯ!$A$9)</f>
        <v>музей</v>
      </c>
      <c r="E249" s="99" t="s">
        <v>364</v>
      </c>
      <c r="F249" s="100">
        <v>225</v>
      </c>
      <c r="G249" s="100">
        <v>244</v>
      </c>
      <c r="H249" s="17" t="s">
        <v>196</v>
      </c>
      <c r="I249" s="100" t="str">
        <f>IF(OR(F249=152,F249=162,F249=510),IF((OR(LEFT(RIGHT(E249,13),1)={"A","D","E","F","G","I","L","N","P","R","S","T","V"})),"Ф",""),"")</f>
        <v/>
      </c>
    </row>
    <row r="250" spans="2:9" x14ac:dyDescent="0.3">
      <c r="D250" s="48" t="str">
        <f>CONCATENATE(УЧРЕЖДЕНИЯ!$A$9)</f>
        <v>музей</v>
      </c>
      <c r="E250" s="99" t="s">
        <v>364</v>
      </c>
      <c r="F250" s="100">
        <v>226</v>
      </c>
      <c r="G250" s="100">
        <v>244</v>
      </c>
      <c r="H250" s="17" t="s">
        <v>196</v>
      </c>
      <c r="I250" s="100" t="str">
        <f>IF(OR(F250=152,F250=162,F250=510),IF((OR(LEFT(RIGHT(E250,13),1)={"A","D","E","F","G","I","L","N","P","R","S","T","V"})),"Ф",""),"")</f>
        <v/>
      </c>
    </row>
    <row r="251" spans="2:9" x14ac:dyDescent="0.3">
      <c r="D251" s="48" t="str">
        <f>CONCATENATE(УЧРЕЖДЕНИЯ!$A$9)</f>
        <v>музей</v>
      </c>
      <c r="E251" s="99" t="s">
        <v>364</v>
      </c>
      <c r="F251" s="100">
        <v>296</v>
      </c>
      <c r="G251" s="100">
        <v>244</v>
      </c>
      <c r="H251" s="17" t="s">
        <v>196</v>
      </c>
      <c r="I251" s="100" t="str">
        <f>IF(OR(F251=152,F251=162,F251=510),IF((OR(LEFT(RIGHT(E251,13),1)={"A","D","E","F","G","I","L","N","P","R","S","T","V"})),"Ф",""),"")</f>
        <v/>
      </c>
    </row>
    <row r="252" spans="2:9" x14ac:dyDescent="0.3">
      <c r="D252" s="48" t="str">
        <f>CONCATENATE(УЧРЕЖДЕНИЯ!$A$9)</f>
        <v>музей</v>
      </c>
      <c r="E252" s="99" t="s">
        <v>364</v>
      </c>
      <c r="F252" s="100">
        <v>310</v>
      </c>
      <c r="G252" s="100">
        <v>244</v>
      </c>
      <c r="H252" s="17" t="s">
        <v>196</v>
      </c>
      <c r="I252" s="100" t="str">
        <f>IF(OR(F252=152,F252=162,F252=510),IF((OR(LEFT(RIGHT(E252,13),1)={"A","D","E","F","G","I","L","N","P","R","S","T","V"})),"Ф",""),"")</f>
        <v/>
      </c>
    </row>
    <row r="253" spans="2:9" x14ac:dyDescent="0.3">
      <c r="D253" s="48" t="str">
        <f>CONCATENATE(УЧРЕЖДЕНИЯ!$A$9)</f>
        <v>музей</v>
      </c>
      <c r="E253" s="99" t="s">
        <v>364</v>
      </c>
      <c r="F253" s="100">
        <v>344</v>
      </c>
      <c r="G253" s="100">
        <v>244</v>
      </c>
      <c r="H253" s="17" t="s">
        <v>196</v>
      </c>
      <c r="I253" s="100" t="str">
        <f>IF(OR(F253=152,F253=162,F253=510),IF((OR(LEFT(RIGHT(E253,13),1)={"A","D","E","F","G","I","L","N","P","R","S","T","V"})),"Ф",""),"")</f>
        <v/>
      </c>
    </row>
    <row r="254" spans="2:9" x14ac:dyDescent="0.3">
      <c r="D254" s="48" t="str">
        <f>CONCATENATE(УЧРЕЖДЕНИЯ!$A$9)</f>
        <v>музей</v>
      </c>
      <c r="E254" s="99" t="s">
        <v>364</v>
      </c>
      <c r="F254" s="100">
        <v>346</v>
      </c>
      <c r="G254" s="100">
        <v>244</v>
      </c>
      <c r="H254" s="17" t="s">
        <v>196</v>
      </c>
      <c r="I254" s="100" t="str">
        <f>IF(OR(F254=152,F254=162,F254=510),IF((OR(LEFT(RIGHT(E254,13),1)={"A","D","E","F","G","I","L","N","P","R","S","T","V"})),"Ф",""),"")</f>
        <v/>
      </c>
    </row>
    <row r="255" spans="2:9" x14ac:dyDescent="0.3">
      <c r="D255" s="48" t="str">
        <f>CONCATENATE(УЧРЕЖДЕНИЯ!$A$9)</f>
        <v>музей</v>
      </c>
      <c r="E255" s="99" t="s">
        <v>362</v>
      </c>
      <c r="F255" s="100">
        <v>510</v>
      </c>
      <c r="G255" s="102">
        <v>510</v>
      </c>
      <c r="H255" s="17" t="s">
        <v>196</v>
      </c>
      <c r="I255" s="100" t="str">
        <f>IF(OR(F255=152,F255=162,F255=510),IF((OR(LEFT(RIGHT(E255,13),1)={"A","D","E","F","G","I","L","N","P","R","S","T","V"})),"Ф",""),"")</f>
        <v/>
      </c>
    </row>
    <row r="256" spans="2:9" x14ac:dyDescent="0.3">
      <c r="B256" s="48" t="s">
        <v>735</v>
      </c>
      <c r="C256" s="48" t="s">
        <v>138</v>
      </c>
      <c r="D256" s="48" t="str">
        <f>CONCATENATE(УЧРЕЖДЕНИЯ!$A$10)</f>
        <v>газета</v>
      </c>
      <c r="E256" s="99" t="s">
        <v>347</v>
      </c>
      <c r="F256" s="102">
        <v>131</v>
      </c>
      <c r="G256" s="102">
        <v>130</v>
      </c>
      <c r="H256" s="17" t="s">
        <v>198</v>
      </c>
      <c r="I256" s="100" t="str">
        <f>IF(OR(F256=152,F256=162,F256=510),IF((OR(LEFT(RIGHT(E256,13),1)={"A","D","E","F","G","I","L","N","P","R","S","T","V"})),"Ф",""),"")</f>
        <v/>
      </c>
    </row>
    <row r="257" spans="4:9" x14ac:dyDescent="0.3">
      <c r="D257" s="48" t="str">
        <f>CONCATENATE(УЧРЕЖДЕНИЯ!$A$10)</f>
        <v>газета</v>
      </c>
      <c r="E257" s="99" t="s">
        <v>348</v>
      </c>
      <c r="F257" s="102">
        <v>211</v>
      </c>
      <c r="G257" s="102">
        <v>111</v>
      </c>
      <c r="H257" s="17" t="s">
        <v>198</v>
      </c>
      <c r="I257" s="100" t="str">
        <f>IF(OR(F257=152,F257=162,F257=510),IF((OR(LEFT(RIGHT(E257,13),1)={"A","D","E","F","G","I","L","N","P","R","S","T","V"})),"Ф",""),"")</f>
        <v/>
      </c>
    </row>
    <row r="258" spans="4:9" x14ac:dyDescent="0.3">
      <c r="D258" s="48" t="str">
        <f>CONCATENATE(УЧРЕЖДЕНИЯ!$A$10)</f>
        <v>газета</v>
      </c>
      <c r="E258" s="99" t="s">
        <v>349</v>
      </c>
      <c r="F258" s="102">
        <v>212</v>
      </c>
      <c r="G258" s="102">
        <v>112</v>
      </c>
      <c r="H258" s="17" t="s">
        <v>198</v>
      </c>
      <c r="I258" s="100" t="str">
        <f>IF(OR(F258=152,F258=162,F258=510),IF((OR(LEFT(RIGHT(E258,13),1)={"A","D","E","F","G","I","L","N","P","R","S","T","V"})),"Ф",""),"")</f>
        <v/>
      </c>
    </row>
    <row r="259" spans="4:9" x14ac:dyDescent="0.3">
      <c r="D259" s="48" t="str">
        <f>CONCATENATE(УЧРЕЖДЕНИЯ!$A$10)</f>
        <v>газета</v>
      </c>
      <c r="E259" s="99" t="s">
        <v>350</v>
      </c>
      <c r="F259" s="102">
        <v>213</v>
      </c>
      <c r="G259" s="102">
        <v>119</v>
      </c>
      <c r="H259" s="17" t="s">
        <v>198</v>
      </c>
      <c r="I259" s="100" t="str">
        <f>IF(OR(F259=152,F259=162,F259=510),IF((OR(LEFT(RIGHT(E259,13),1)={"A","D","E","F","G","I","L","N","P","R","S","T","V"})),"Ф",""),"")</f>
        <v/>
      </c>
    </row>
    <row r="260" spans="4:9" x14ac:dyDescent="0.3">
      <c r="D260" s="48" t="str">
        <f>CONCATENATE(УЧРЕЖДЕНИЯ!$A$10)</f>
        <v>газета</v>
      </c>
      <c r="E260" s="99" t="s">
        <v>351</v>
      </c>
      <c r="F260" s="102">
        <v>221</v>
      </c>
      <c r="G260" s="102">
        <v>244</v>
      </c>
      <c r="H260" s="17" t="s">
        <v>198</v>
      </c>
      <c r="I260" s="100" t="str">
        <f>IF(OR(F260=152,F260=162,F260=510),IF((OR(LEFT(RIGHT(E260,13),1)={"A","D","E","F","G","I","L","N","P","R","S","T","V"})),"Ф",""),"")</f>
        <v/>
      </c>
    </row>
    <row r="261" spans="4:9" x14ac:dyDescent="0.3">
      <c r="D261" s="48" t="str">
        <f>CONCATENATE(УЧРЕЖДЕНИЯ!$A$10)</f>
        <v>газета</v>
      </c>
      <c r="E261" s="99" t="s">
        <v>351</v>
      </c>
      <c r="F261" s="102">
        <v>222</v>
      </c>
      <c r="G261" s="102">
        <v>244</v>
      </c>
      <c r="H261" s="17" t="s">
        <v>198</v>
      </c>
      <c r="I261" s="100" t="str">
        <f>IF(OR(F261=152,F261=162,F261=510),IF((OR(LEFT(RIGHT(E261,13),1)={"A","D","E","F","G","I","L","N","P","R","S","T","V"})),"Ф",""),"")</f>
        <v/>
      </c>
    </row>
    <row r="262" spans="4:9" x14ac:dyDescent="0.3">
      <c r="D262" s="48" t="str">
        <f>CONCATENATE(УЧРЕЖДЕНИЯ!$A$10)</f>
        <v>газета</v>
      </c>
      <c r="E262" s="99" t="s">
        <v>351</v>
      </c>
      <c r="F262" s="102">
        <v>224</v>
      </c>
      <c r="G262" s="102">
        <v>244</v>
      </c>
      <c r="H262" s="17" t="s">
        <v>198</v>
      </c>
      <c r="I262" s="100" t="str">
        <f>IF(OR(F262=152,F262=162,F262=510),IF((OR(LEFT(RIGHT(E262,13),1)={"A","D","E","F","G","I","L","N","P","R","S","T","V"})),"Ф",""),"")</f>
        <v/>
      </c>
    </row>
    <row r="263" spans="4:9" x14ac:dyDescent="0.3">
      <c r="D263" s="48" t="str">
        <f>CONCATENATE(УЧРЕЖДЕНИЯ!$A$10)</f>
        <v>газета</v>
      </c>
      <c r="E263" s="99" t="s">
        <v>351</v>
      </c>
      <c r="F263" s="102">
        <v>225</v>
      </c>
      <c r="G263" s="102">
        <v>244</v>
      </c>
      <c r="H263" s="17" t="s">
        <v>198</v>
      </c>
      <c r="I263" s="100" t="str">
        <f>IF(OR(F263=152,F263=162,F263=510),IF((OR(LEFT(RIGHT(E263,13),1)={"A","D","E","F","G","I","L","N","P","R","S","T","V"})),"Ф",""),"")</f>
        <v/>
      </c>
    </row>
    <row r="264" spans="4:9" x14ac:dyDescent="0.3">
      <c r="D264" s="48" t="str">
        <f>CONCATENATE(УЧРЕЖДЕНИЯ!$A$10)</f>
        <v>газета</v>
      </c>
      <c r="E264" s="99" t="s">
        <v>351</v>
      </c>
      <c r="F264" s="102">
        <v>226</v>
      </c>
      <c r="G264" s="102">
        <v>244</v>
      </c>
      <c r="H264" s="17" t="s">
        <v>198</v>
      </c>
      <c r="I264" s="100" t="str">
        <f>IF(OR(F264=152,F264=162,F264=510),IF((OR(LEFT(RIGHT(E264,13),1)={"A","D","E","F","G","I","L","N","P","R","S","T","V"})),"Ф",""),"")</f>
        <v/>
      </c>
    </row>
    <row r="265" spans="4:9" x14ac:dyDescent="0.3">
      <c r="D265" s="48" t="str">
        <f>CONCATENATE(УЧРЕЖДЕНИЯ!$A$10)</f>
        <v>газета</v>
      </c>
      <c r="E265" s="99" t="s">
        <v>351</v>
      </c>
      <c r="F265" s="102">
        <v>296</v>
      </c>
      <c r="G265" s="102">
        <v>244</v>
      </c>
      <c r="H265" s="17" t="s">
        <v>198</v>
      </c>
      <c r="I265" s="100" t="str">
        <f>IF(OR(F265=152,F265=162,F265=510),IF((OR(LEFT(RIGHT(E265,13),1)={"A","D","E","F","G","I","L","N","P","R","S","T","V"})),"Ф",""),"")</f>
        <v/>
      </c>
    </row>
    <row r="266" spans="4:9" x14ac:dyDescent="0.3">
      <c r="D266" s="48" t="str">
        <f>CONCATENATE(УЧРЕЖДЕНИЯ!$A$10)</f>
        <v>газета</v>
      </c>
      <c r="E266" s="99" t="s">
        <v>351</v>
      </c>
      <c r="F266" s="102">
        <v>310</v>
      </c>
      <c r="G266" s="102">
        <v>244</v>
      </c>
      <c r="H266" s="17" t="s">
        <v>198</v>
      </c>
      <c r="I266" s="100" t="str">
        <f>IF(OR(F266=152,F266=162,F266=510),IF((OR(LEFT(RIGHT(E266,13),1)={"A","D","E","F","G","I","L","N","P","R","S","T","V"})),"Ф",""),"")</f>
        <v/>
      </c>
    </row>
    <row r="267" spans="4:9" x14ac:dyDescent="0.3">
      <c r="D267" s="48" t="str">
        <f>CONCATENATE(УЧРЕЖДЕНИЯ!$A$10)</f>
        <v>газета</v>
      </c>
      <c r="E267" s="99" t="s">
        <v>352</v>
      </c>
      <c r="F267" s="102">
        <v>2233</v>
      </c>
      <c r="G267" s="102">
        <v>244</v>
      </c>
      <c r="H267" s="17" t="s">
        <v>198</v>
      </c>
      <c r="I267" s="100" t="str">
        <f>IF(OR(F267=152,F267=162,F267=510),IF((OR(LEFT(RIGHT(E267,13),1)={"A","D","E","F","G","I","L","N","P","R","S","T","V"})),"Ф",""),"")</f>
        <v/>
      </c>
    </row>
    <row r="268" spans="4:9" x14ac:dyDescent="0.3">
      <c r="D268" s="48" t="str">
        <f>CONCATENATE(УЧРЕЖДЕНИЯ!$A$10)</f>
        <v>газета</v>
      </c>
      <c r="E268" s="99" t="s">
        <v>695</v>
      </c>
      <c r="F268" s="102">
        <v>2232</v>
      </c>
      <c r="G268" s="102">
        <v>247</v>
      </c>
      <c r="H268" s="17" t="s">
        <v>198</v>
      </c>
      <c r="I268" s="100" t="str">
        <f>IF(OR(F268=152,F268=162,F268=510),IF((OR(LEFT(RIGHT(E268,13),1)={"A","D","E","F","G","I","L","N","P","R","S","T","V"})),"Ф",""),"")</f>
        <v/>
      </c>
    </row>
    <row r="269" spans="4:9" x14ac:dyDescent="0.3">
      <c r="D269" s="48" t="str">
        <f>CONCATENATE(УЧРЕЖДЕНИЯ!$A$10)</f>
        <v>газета</v>
      </c>
      <c r="E269" s="99" t="s">
        <v>683</v>
      </c>
      <c r="F269" s="102">
        <v>2231</v>
      </c>
      <c r="G269" s="102">
        <v>247</v>
      </c>
      <c r="H269" s="17" t="s">
        <v>198</v>
      </c>
      <c r="I269" s="100" t="str">
        <f>IF(OR(F269=152,F269=162,F269=510),IF((OR(LEFT(RIGHT(E269,13),1)={"A","D","E","F","G","I","L","N","P","R","S","T","V"})),"Ф",""),"")</f>
        <v/>
      </c>
    </row>
    <row r="270" spans="4:9" x14ac:dyDescent="0.3">
      <c r="D270" s="48" t="str">
        <f>CONCATENATE(УЧРЕЖДЕНИЯ!$A$10)</f>
        <v>газета</v>
      </c>
      <c r="E270" s="99" t="s">
        <v>353</v>
      </c>
      <c r="F270" s="102">
        <v>262</v>
      </c>
      <c r="G270" s="102">
        <v>360</v>
      </c>
      <c r="H270" s="17" t="s">
        <v>198</v>
      </c>
      <c r="I270" s="100" t="str">
        <f>IF(OR(F270=152,F270=162,F270=510),IF((OR(LEFT(RIGHT(E270,13),1)={"A","D","E","F","G","I","L","N","P","R","S","T","V"})),"Ф",""),"")</f>
        <v/>
      </c>
    </row>
    <row r="271" spans="4:9" x14ac:dyDescent="0.3">
      <c r="D271" s="48" t="str">
        <f>CONCATENATE(УЧРЕЖДЕНИЯ!$A$10)</f>
        <v>газета</v>
      </c>
      <c r="E271" s="99" t="s">
        <v>346</v>
      </c>
      <c r="F271" s="102">
        <v>510</v>
      </c>
      <c r="G271" s="102">
        <v>510</v>
      </c>
      <c r="H271" s="17" t="s">
        <v>198</v>
      </c>
      <c r="I271" s="100" t="str">
        <f>IF(OR(F271=152,F271=162,F271=510),IF((OR(LEFT(RIGHT(E271,13),1)={"A","D","E","F","G","I","L","N","P","R","S","T","V"})),"Ф",""),"")</f>
        <v/>
      </c>
    </row>
    <row r="272" spans="4:9" x14ac:dyDescent="0.3">
      <c r="D272" s="48" t="str">
        <f>CONCATENATE(УЧРЕЖДЕНИЯ!$A$10)</f>
        <v>газета</v>
      </c>
      <c r="E272" s="99" t="s">
        <v>354</v>
      </c>
      <c r="F272" s="102">
        <v>291</v>
      </c>
      <c r="G272" s="102">
        <v>851</v>
      </c>
      <c r="H272" s="17" t="s">
        <v>198</v>
      </c>
      <c r="I272" s="100" t="str">
        <f>IF(OR(F272=152,F272=162,F272=510),IF((OR(LEFT(RIGHT(E272,13),1)={"A","D","E","F","G","I","L","N","P","R","S","T","V"})),"Ф",""),"")</f>
        <v/>
      </c>
    </row>
    <row r="273" spans="2:9" x14ac:dyDescent="0.3">
      <c r="D273" s="48" t="str">
        <f>CONCATENATE(УЧРЕЖДЕНИЯ!$A$10)</f>
        <v>газета</v>
      </c>
      <c r="E273" s="99" t="s">
        <v>355</v>
      </c>
      <c r="F273" s="102">
        <v>291</v>
      </c>
      <c r="G273" s="102">
        <v>852</v>
      </c>
      <c r="H273" s="17" t="s">
        <v>198</v>
      </c>
      <c r="I273" s="100" t="str">
        <f>IF(OR(F273=152,F273=162,F273=510),IF((OR(LEFT(RIGHT(E273,13),1)={"A","D","E","F","G","I","L","N","P","R","S","T","V"})),"Ф",""),"")</f>
        <v/>
      </c>
    </row>
    <row r="274" spans="2:9" x14ac:dyDescent="0.3">
      <c r="D274" s="48" t="str">
        <f>CONCATENATE(УЧРЕЖДЕНИЯ!$A$10)</f>
        <v>газета</v>
      </c>
      <c r="E274" s="99" t="s">
        <v>356</v>
      </c>
      <c r="F274" s="102">
        <v>291</v>
      </c>
      <c r="G274" s="102">
        <v>853</v>
      </c>
      <c r="H274" s="17" t="s">
        <v>198</v>
      </c>
      <c r="I274" s="100" t="str">
        <f>IF(OR(F274=152,F274=162,F274=510),IF((OR(LEFT(RIGHT(E274,13),1)={"A","D","E","F","G","I","L","N","P","R","S","T","V"})),"Ф",""),"")</f>
        <v/>
      </c>
    </row>
    <row r="275" spans="2:9" x14ac:dyDescent="0.3">
      <c r="D275" s="48" t="str">
        <f>CONCATENATE(УЧРЕЖДЕНИЯ!$A$10)</f>
        <v>газета</v>
      </c>
      <c r="E275" s="99" t="s">
        <v>356</v>
      </c>
      <c r="F275" s="102">
        <v>292</v>
      </c>
      <c r="G275" s="102">
        <v>853</v>
      </c>
      <c r="H275" s="17" t="s">
        <v>198</v>
      </c>
      <c r="I275" s="100" t="str">
        <f>IF(OR(F275=152,F275=162,F275=510),IF((OR(LEFT(RIGHT(E275,13),1)={"A","D","E","F","G","I","L","N","P","R","S","T","V"})),"Ф",""),"")</f>
        <v/>
      </c>
    </row>
    <row r="276" spans="2:9" x14ac:dyDescent="0.3">
      <c r="D276" s="48" t="str">
        <f>CONCATENATE(УЧРЕЖДЕНИЯ!$A$10)</f>
        <v>газета</v>
      </c>
      <c r="E276" s="99" t="s">
        <v>360</v>
      </c>
      <c r="F276" s="100">
        <v>510</v>
      </c>
      <c r="G276" s="102">
        <v>510</v>
      </c>
      <c r="H276" s="17" t="s">
        <v>198</v>
      </c>
      <c r="I276" s="100" t="str">
        <f>IF(OR(F276=152,F276=162,F276=510),IF((OR(LEFT(RIGHT(E276,13),1)={"A","D","E","F","G","I","L","N","P","R","S","T","V"})),"Ф",""),"")</f>
        <v/>
      </c>
    </row>
    <row r="277" spans="2:9" x14ac:dyDescent="0.3">
      <c r="D277" s="48" t="str">
        <f>CONCATENATE(УЧРЕЖДЕНИЯ!$A$10)</f>
        <v>газета</v>
      </c>
      <c r="E277" s="99" t="s">
        <v>361</v>
      </c>
      <c r="F277" s="100">
        <v>6101</v>
      </c>
      <c r="G277" s="100">
        <v>610</v>
      </c>
      <c r="H277" s="17" t="s">
        <v>198</v>
      </c>
      <c r="I277" s="100" t="str">
        <f>IF(OR(F277=152,F277=162,F277=510),IF((OR(LEFT(RIGHT(E277,13),1)={"A","D","E","F","G","I","L","N","P","R","S","T","V"})),"Ф",""),"")</f>
        <v/>
      </c>
    </row>
    <row r="278" spans="2:9" x14ac:dyDescent="0.3">
      <c r="D278" s="48" t="str">
        <f>CONCATENATE(УЧРЕЖДЕНИЯ!$A$10)</f>
        <v>газета</v>
      </c>
      <c r="E278" s="99" t="s">
        <v>363</v>
      </c>
      <c r="F278" s="100">
        <v>155</v>
      </c>
      <c r="G278" s="100">
        <v>150</v>
      </c>
      <c r="H278" s="17" t="s">
        <v>198</v>
      </c>
      <c r="I278" s="100" t="str">
        <f>IF(OR(F278=152,F278=162,F278=510),IF((OR(LEFT(RIGHT(E278,13),1)={"A","D","E","F","G","I","L","N","P","R","S","T","V"})),"Ф",""),"")</f>
        <v/>
      </c>
    </row>
    <row r="279" spans="2:9" x14ac:dyDescent="0.3">
      <c r="D279" s="48" t="str">
        <f>CONCATENATE(УЧРЕЖДЕНИЯ!$A$10)</f>
        <v>газета</v>
      </c>
      <c r="E279" s="99" t="s">
        <v>364</v>
      </c>
      <c r="F279" s="100">
        <v>225</v>
      </c>
      <c r="G279" s="100">
        <v>244</v>
      </c>
      <c r="H279" s="17" t="s">
        <v>198</v>
      </c>
      <c r="I279" s="100" t="str">
        <f>IF(OR(F279=152,F279=162,F279=510),IF((OR(LEFT(RIGHT(E279,13),1)={"A","D","E","F","G","I","L","N","P","R","S","T","V"})),"Ф",""),"")</f>
        <v/>
      </c>
    </row>
    <row r="280" spans="2:9" x14ac:dyDescent="0.3">
      <c r="D280" s="48" t="str">
        <f>CONCATENATE(УЧРЕЖДЕНИЯ!$A$10)</f>
        <v>газета</v>
      </c>
      <c r="E280" s="99" t="s">
        <v>364</v>
      </c>
      <c r="F280" s="100">
        <v>226</v>
      </c>
      <c r="G280" s="100">
        <v>244</v>
      </c>
      <c r="H280" s="17" t="s">
        <v>198</v>
      </c>
      <c r="I280" s="100" t="str">
        <f>IF(OR(F280=152,F280=162,F280=510),IF((OR(LEFT(RIGHT(E280,13),1)={"A","D","E","F","G","I","L","N","P","R","S","T","V"})),"Ф",""),"")</f>
        <v/>
      </c>
    </row>
    <row r="281" spans="2:9" x14ac:dyDescent="0.3">
      <c r="D281" s="48" t="str">
        <f>CONCATENATE(УЧРЕЖДЕНИЯ!$A$10)</f>
        <v>газета</v>
      </c>
      <c r="E281" s="99" t="s">
        <v>364</v>
      </c>
      <c r="F281" s="100">
        <v>310</v>
      </c>
      <c r="G281" s="100">
        <v>244</v>
      </c>
      <c r="H281" s="17" t="s">
        <v>198</v>
      </c>
      <c r="I281" s="100" t="str">
        <f>IF(OR(F281=152,F281=162,F281=510),IF((OR(LEFT(RIGHT(E281,13),1)={"A","D","E","F","G","I","L","N","P","R","S","T","V"})),"Ф",""),"")</f>
        <v/>
      </c>
    </row>
    <row r="282" spans="2:9" x14ac:dyDescent="0.3">
      <c r="D282" s="48" t="str">
        <f>CONCATENATE(УЧРЕЖДЕНИЯ!$A$10)</f>
        <v>газета</v>
      </c>
      <c r="E282" s="99" t="s">
        <v>362</v>
      </c>
      <c r="F282" s="100">
        <v>510</v>
      </c>
      <c r="G282" s="102">
        <v>510</v>
      </c>
      <c r="H282" s="17" t="s">
        <v>198</v>
      </c>
      <c r="I282" s="100" t="str">
        <f>IF(OR(F282=152,F282=162,F282=510),IF((OR(LEFT(RIGHT(E282,13),1)={"A","D","E","F","G","I","L","N","P","R","S","T","V"})),"Ф",""),"")</f>
        <v/>
      </c>
    </row>
    <row r="283" spans="2:9" x14ac:dyDescent="0.3">
      <c r="B283" s="48" t="s">
        <v>735</v>
      </c>
      <c r="C283" s="48" t="s">
        <v>203</v>
      </c>
      <c r="D283" s="48" t="str">
        <f>CONCATENATE(УЧРЕЖДЕНИЯ!$A$11)</f>
        <v>культура</v>
      </c>
      <c r="E283" s="99" t="s">
        <v>368</v>
      </c>
      <c r="F283" s="100">
        <v>121</v>
      </c>
      <c r="G283" s="100">
        <v>120</v>
      </c>
      <c r="H283" s="17" t="s">
        <v>196</v>
      </c>
      <c r="I283" s="100" t="str">
        <f>IF(OR(F283=152,F283=162,F283=510),IF((OR(LEFT(RIGHT(E283,13),1)={"A","D","E","F","G","I","L","N","P","R","S","T","V"})),"Ф",""),"")</f>
        <v/>
      </c>
    </row>
    <row r="284" spans="2:9" x14ac:dyDescent="0.3">
      <c r="D284" s="48" t="str">
        <f>CONCATENATE(УЧРЕЖДЕНИЯ!$A$11)</f>
        <v>культура</v>
      </c>
      <c r="E284" s="99" t="s">
        <v>577</v>
      </c>
      <c r="F284" s="100">
        <v>189</v>
      </c>
      <c r="G284" s="100">
        <v>180</v>
      </c>
      <c r="H284" s="17" t="s">
        <v>196</v>
      </c>
      <c r="I284" s="100" t="str">
        <f>IF(OR(F284=152,F284=162,F284=510),IF((OR(LEFT(RIGHT(E284,13),1)={"A","D","E","F","G","I","L","N","P","R","S","T","V"})),"Ф",""),"")</f>
        <v/>
      </c>
    </row>
    <row r="285" spans="2:9" x14ac:dyDescent="0.3">
      <c r="D285" s="48" t="str">
        <f>CONCATENATE(УЧРЕЖДЕНИЯ!$A$11)</f>
        <v>культура</v>
      </c>
      <c r="E285" s="99" t="s">
        <v>369</v>
      </c>
      <c r="F285" s="102">
        <v>221</v>
      </c>
      <c r="G285" s="102">
        <v>244</v>
      </c>
      <c r="H285" s="17" t="s">
        <v>196</v>
      </c>
      <c r="I285" s="100" t="str">
        <f>IF(OR(F285=152,F285=162,F285=510),IF((OR(LEFT(RIGHT(E285,13),1)={"A","D","E","F","G","I","L","N","P","R","S","T","V"})),"Ф",""),"")</f>
        <v/>
      </c>
    </row>
    <row r="286" spans="2:9" x14ac:dyDescent="0.3">
      <c r="D286" s="48" t="str">
        <f>CONCATENATE(УЧРЕЖДЕНИЯ!$A$11)</f>
        <v>культура</v>
      </c>
      <c r="E286" s="99" t="s">
        <v>369</v>
      </c>
      <c r="F286" s="102">
        <v>225</v>
      </c>
      <c r="G286" s="102">
        <v>244</v>
      </c>
      <c r="H286" s="17" t="s">
        <v>196</v>
      </c>
      <c r="I286" s="100" t="str">
        <f>IF(OR(F286=152,F286=162,F286=510),IF((OR(LEFT(RIGHT(E286,13),1)={"A","D","E","F","G","I","L","N","P","R","S","T","V"})),"Ф",""),"")</f>
        <v/>
      </c>
    </row>
    <row r="287" spans="2:9" x14ac:dyDescent="0.3">
      <c r="D287" s="48" t="str">
        <f>CONCATENATE(УЧРЕЖДЕНИЯ!$A$11)</f>
        <v>культура</v>
      </c>
      <c r="E287" s="99" t="s">
        <v>369</v>
      </c>
      <c r="F287" s="102">
        <v>226</v>
      </c>
      <c r="G287" s="102">
        <v>244</v>
      </c>
      <c r="H287" s="17" t="s">
        <v>196</v>
      </c>
      <c r="I287" s="100" t="str">
        <f>IF(OR(F287=152,F287=162,F287=510),IF((OR(LEFT(RIGHT(E287,13),1)={"A","D","E","F","G","I","L","N","P","R","S","T","V"})),"Ф",""),"")</f>
        <v/>
      </c>
    </row>
    <row r="288" spans="2:9" x14ac:dyDescent="0.3">
      <c r="D288" s="48" t="str">
        <f>CONCATENATE(УЧРЕЖДЕНИЯ!$A$11)</f>
        <v>культура</v>
      </c>
      <c r="E288" s="99" t="s">
        <v>369</v>
      </c>
      <c r="F288" s="102">
        <v>296</v>
      </c>
      <c r="G288" s="102">
        <v>244</v>
      </c>
      <c r="H288" s="17" t="s">
        <v>196</v>
      </c>
      <c r="I288" s="100" t="str">
        <f>IF(OR(F288=152,F288=162,F288=510),IF((OR(LEFT(RIGHT(E288,13),1)={"A","D","E","F","G","I","L","N","P","R","S","T","V"})),"Ф",""),"")</f>
        <v/>
      </c>
    </row>
    <row r="289" spans="4:9" x14ac:dyDescent="0.3">
      <c r="D289" s="48" t="str">
        <f>CONCATENATE(УЧРЕЖДЕНИЯ!$A$11)</f>
        <v>культура</v>
      </c>
      <c r="E289" s="99" t="s">
        <v>369</v>
      </c>
      <c r="F289" s="102">
        <v>310</v>
      </c>
      <c r="G289" s="102">
        <v>244</v>
      </c>
      <c r="H289" s="17" t="s">
        <v>196</v>
      </c>
      <c r="I289" s="100" t="str">
        <f>IF(OR(F289=152,F289=162,F289=510),IF((OR(LEFT(RIGHT(E289,13),1)={"A","D","E","F","G","I","L","N","P","R","S","T","V"})),"Ф",""),"")</f>
        <v/>
      </c>
    </row>
    <row r="290" spans="4:9" x14ac:dyDescent="0.3">
      <c r="D290" s="48" t="str">
        <f>CONCATENATE(УЧРЕЖДЕНИЯ!$A$11)</f>
        <v>культура</v>
      </c>
      <c r="E290" s="99" t="s">
        <v>369</v>
      </c>
      <c r="F290" s="102">
        <v>344</v>
      </c>
      <c r="G290" s="102">
        <v>244</v>
      </c>
      <c r="H290" s="17" t="s">
        <v>196</v>
      </c>
      <c r="I290" s="100" t="str">
        <f>IF(OR(F290=152,F290=162,F290=510),IF((OR(LEFT(RIGHT(E290,13),1)={"A","D","E","F","G","I","L","N","P","R","S","T","V"})),"Ф",""),"")</f>
        <v/>
      </c>
    </row>
    <row r="291" spans="4:9" x14ac:dyDescent="0.3">
      <c r="D291" s="48" t="str">
        <f>CONCATENATE(УЧРЕЖДЕНИЯ!$A$11)</f>
        <v>культура</v>
      </c>
      <c r="E291" s="99" t="s">
        <v>369</v>
      </c>
      <c r="F291" s="102">
        <v>346</v>
      </c>
      <c r="G291" s="102">
        <v>244</v>
      </c>
      <c r="H291" s="17" t="s">
        <v>196</v>
      </c>
      <c r="I291" s="100" t="str">
        <f>IF(OR(F291=152,F291=162,F291=510),IF((OR(LEFT(RIGHT(E291,13),1)={"A","D","E","F","G","I","L","N","P","R","S","T","V"})),"Ф",""),"")</f>
        <v/>
      </c>
    </row>
    <row r="292" spans="4:9" x14ac:dyDescent="0.3">
      <c r="D292" s="48" t="str">
        <f>CONCATENATE(УЧРЕЖДЕНИЯ!$A$11)</f>
        <v>культура</v>
      </c>
      <c r="E292" s="99" t="s">
        <v>696</v>
      </c>
      <c r="F292" s="102">
        <v>2232</v>
      </c>
      <c r="G292" s="102">
        <v>247</v>
      </c>
      <c r="H292" s="17" t="s">
        <v>196</v>
      </c>
      <c r="I292" s="100" t="str">
        <f>IF(OR(F292=152,F292=162,F292=510),IF((OR(LEFT(RIGHT(E292,13),1)={"A","D","E","F","G","I","L","N","P","R","S","T","V"})),"Ф",""),"")</f>
        <v/>
      </c>
    </row>
    <row r="293" spans="4:9" x14ac:dyDescent="0.3">
      <c r="D293" s="48" t="str">
        <f>CONCATENATE(УЧРЕЖДЕНИЯ!$A$11)</f>
        <v>культура</v>
      </c>
      <c r="E293" s="99" t="s">
        <v>684</v>
      </c>
      <c r="F293" s="102">
        <v>2231</v>
      </c>
      <c r="G293" s="102">
        <v>247</v>
      </c>
      <c r="H293" s="17" t="s">
        <v>196</v>
      </c>
      <c r="I293" s="100" t="str">
        <f>IF(OR(F293=152,F293=162,F293=510),IF((OR(LEFT(RIGHT(E293,13),1)={"A","D","E","F","G","I","L","N","P","R","S","T","V"})),"Ф",""),"")</f>
        <v/>
      </c>
    </row>
    <row r="294" spans="4:9" x14ac:dyDescent="0.3">
      <c r="D294" s="48" t="str">
        <f>CONCATENATE(УЧРЕЖДЕНИЯ!$A$11)</f>
        <v>культура</v>
      </c>
      <c r="E294" s="99" t="s">
        <v>367</v>
      </c>
      <c r="F294" s="100">
        <v>510</v>
      </c>
      <c r="G294" s="100">
        <v>510</v>
      </c>
      <c r="H294" s="17" t="s">
        <v>196</v>
      </c>
      <c r="I294" s="100" t="str">
        <f>IF(OR(F294=152,F294=162,F294=510),IF((OR(LEFT(RIGHT(E294,13),1)={"A","D","E","F","G","I","L","N","P","R","S","T","V"})),"Ф",""),"")</f>
        <v/>
      </c>
    </row>
    <row r="295" spans="4:9" x14ac:dyDescent="0.3">
      <c r="D295" s="48" t="str">
        <f>CONCATENATE(УЧРЕЖДЕНИЯ!$A$11)</f>
        <v>культура</v>
      </c>
      <c r="E295" s="99" t="s">
        <v>578</v>
      </c>
      <c r="F295" s="102">
        <v>292</v>
      </c>
      <c r="G295" s="102">
        <v>853</v>
      </c>
      <c r="H295" s="17" t="s">
        <v>196</v>
      </c>
      <c r="I295" s="100" t="str">
        <f>IF(OR(F295=152,F295=162,F295=510),IF((OR(LEFT(RIGHT(E295,13),1)={"A","D","E","F","G","I","L","N","P","R","S","T","V"})),"Ф",""),"")</f>
        <v/>
      </c>
    </row>
    <row r="296" spans="4:9" x14ac:dyDescent="0.3">
      <c r="D296" s="48" t="str">
        <f>CONCATENATE(УЧРЕЖДЕНИЯ!$A$11)</f>
        <v>культура</v>
      </c>
      <c r="E296" s="99" t="s">
        <v>347</v>
      </c>
      <c r="F296" s="102">
        <v>131</v>
      </c>
      <c r="G296" s="102">
        <v>130</v>
      </c>
      <c r="H296" s="17" t="s">
        <v>196</v>
      </c>
      <c r="I296" s="100" t="str">
        <f>IF(OR(F296=152,F296=162,F296=510),IF((OR(LEFT(RIGHT(E296,13),1)={"A","D","E","F","G","I","L","N","P","R","S","T","V"})),"Ф",""),"")</f>
        <v/>
      </c>
    </row>
    <row r="297" spans="4:9" x14ac:dyDescent="0.3">
      <c r="D297" s="48" t="str">
        <f>CONCATENATE(УЧРЕЖДЕНИЯ!$A$11)</f>
        <v>культура</v>
      </c>
      <c r="E297" s="99" t="s">
        <v>348</v>
      </c>
      <c r="F297" s="102">
        <v>211</v>
      </c>
      <c r="G297" s="102">
        <v>111</v>
      </c>
      <c r="H297" s="17" t="s">
        <v>196</v>
      </c>
      <c r="I297" s="100" t="str">
        <f>IF(OR(F297=152,F297=162,F297=510),IF((OR(LEFT(RIGHT(E297,13),1)={"A","D","E","F","G","I","L","N","P","R","S","T","V"})),"Ф",""),"")</f>
        <v/>
      </c>
    </row>
    <row r="298" spans="4:9" x14ac:dyDescent="0.3">
      <c r="D298" s="48" t="str">
        <f>CONCATENATE(УЧРЕЖДЕНИЯ!$A$11)</f>
        <v>культура</v>
      </c>
      <c r="E298" s="99" t="s">
        <v>348</v>
      </c>
      <c r="F298" s="102">
        <v>266</v>
      </c>
      <c r="G298" s="102">
        <v>111</v>
      </c>
      <c r="H298" s="17" t="s">
        <v>196</v>
      </c>
      <c r="I298" s="100" t="str">
        <f>IF(OR(F298=152,F298=162,F298=510),IF((OR(LEFT(RIGHT(E298,13),1)={"A","D","E","F","G","I","L","N","P","R","S","T","V"})),"Ф",""),"")</f>
        <v/>
      </c>
    </row>
    <row r="299" spans="4:9" x14ac:dyDescent="0.3">
      <c r="D299" s="48" t="str">
        <f>CONCATENATE(УЧРЕЖДЕНИЯ!$A$11)</f>
        <v>культура</v>
      </c>
      <c r="E299" s="99" t="s">
        <v>349</v>
      </c>
      <c r="F299" s="102">
        <v>212</v>
      </c>
      <c r="G299" s="102">
        <v>112</v>
      </c>
      <c r="H299" s="17" t="s">
        <v>196</v>
      </c>
      <c r="I299" s="100" t="str">
        <f>IF(OR(F299=152,F299=162,F299=510),IF((OR(LEFT(RIGHT(E299,13),1)={"A","D","E","F","G","I","L","N","P","R","S","T","V"})),"Ф",""),"")</f>
        <v/>
      </c>
    </row>
    <row r="300" spans="4:9" x14ac:dyDescent="0.3">
      <c r="D300" s="48" t="str">
        <f>CONCATENATE(УЧРЕЖДЕНИЯ!$A$11)</f>
        <v>культура</v>
      </c>
      <c r="E300" s="99" t="s">
        <v>349</v>
      </c>
      <c r="F300" s="102">
        <v>226</v>
      </c>
      <c r="G300" s="102">
        <v>112</v>
      </c>
      <c r="H300" s="17" t="s">
        <v>196</v>
      </c>
      <c r="I300" s="100" t="str">
        <f>IF(OR(F300=152,F300=162,F300=510),IF((OR(LEFT(RIGHT(E300,13),1)={"A","D","E","F","G","I","L","N","P","R","S","T","V"})),"Ф",""),"")</f>
        <v/>
      </c>
    </row>
    <row r="301" spans="4:9" x14ac:dyDescent="0.3">
      <c r="D301" s="48" t="str">
        <f>CONCATENATE(УЧРЕЖДЕНИЯ!$A$11)</f>
        <v>культура</v>
      </c>
      <c r="E301" s="99" t="s">
        <v>349</v>
      </c>
      <c r="F301" s="102">
        <v>266</v>
      </c>
      <c r="G301" s="102">
        <v>112</v>
      </c>
      <c r="H301" s="17" t="s">
        <v>196</v>
      </c>
      <c r="I301" s="100" t="str">
        <f>IF(OR(F301=152,F301=162,F301=510),IF((OR(LEFT(RIGHT(E301,13),1)={"A","D","E","F","G","I","L","N","P","R","S","T","V"})),"Ф",""),"")</f>
        <v/>
      </c>
    </row>
    <row r="302" spans="4:9" x14ac:dyDescent="0.3">
      <c r="D302" s="48" t="str">
        <f>CONCATENATE(УЧРЕЖДЕНИЯ!$A$11)</f>
        <v>культура</v>
      </c>
      <c r="E302" s="99" t="s">
        <v>359</v>
      </c>
      <c r="F302" s="102">
        <v>296</v>
      </c>
      <c r="G302" s="102">
        <v>113</v>
      </c>
      <c r="H302" s="17" t="s">
        <v>196</v>
      </c>
      <c r="I302" s="100" t="str">
        <f>IF(OR(F302=152,F302=162,F302=510),IF((OR(LEFT(RIGHT(E302,13),1)={"A","D","E","F","G","I","L","N","P","R","S","T","V"})),"Ф",""),"")</f>
        <v/>
      </c>
    </row>
    <row r="303" spans="4:9" x14ac:dyDescent="0.3">
      <c r="D303" s="48" t="str">
        <f>CONCATENATE(УЧРЕЖДЕНИЯ!$A$11)</f>
        <v>культура</v>
      </c>
      <c r="E303" s="99" t="s">
        <v>350</v>
      </c>
      <c r="F303" s="102">
        <v>213</v>
      </c>
      <c r="G303" s="102">
        <v>119</v>
      </c>
      <c r="H303" s="17" t="s">
        <v>196</v>
      </c>
      <c r="I303" s="100" t="str">
        <f>IF(OR(F303=152,F303=162,F303=510),IF((OR(LEFT(RIGHT(E303,13),1)={"A","D","E","F","G","I","L","N","P","R","S","T","V"})),"Ф",""),"")</f>
        <v/>
      </c>
    </row>
    <row r="304" spans="4:9" x14ac:dyDescent="0.3">
      <c r="D304" s="48" t="str">
        <f>CONCATENATE(УЧРЕЖДЕНИЯ!$A$11)</f>
        <v>культура</v>
      </c>
      <c r="E304" s="99" t="s">
        <v>351</v>
      </c>
      <c r="F304" s="102">
        <v>221</v>
      </c>
      <c r="G304" s="102">
        <v>244</v>
      </c>
      <c r="H304" s="17" t="s">
        <v>196</v>
      </c>
      <c r="I304" s="100" t="str">
        <f>IF(OR(F304=152,F304=162,F304=510),IF((OR(LEFT(RIGHT(E304,13),1)={"A","D","E","F","G","I","L","N","P","R","S","T","V"})),"Ф",""),"")</f>
        <v/>
      </c>
    </row>
    <row r="305" spans="4:9" x14ac:dyDescent="0.3">
      <c r="D305" s="48" t="str">
        <f>CONCATENATE(УЧРЕЖДЕНИЯ!$A$11)</f>
        <v>культура</v>
      </c>
      <c r="E305" s="99" t="s">
        <v>351</v>
      </c>
      <c r="F305" s="102">
        <v>222</v>
      </c>
      <c r="G305" s="102">
        <v>244</v>
      </c>
      <c r="H305" s="17" t="s">
        <v>196</v>
      </c>
      <c r="I305" s="100" t="str">
        <f>IF(OR(F305=152,F305=162,F305=510),IF((OR(LEFT(RIGHT(E305,13),1)={"A","D","E","F","G","I","L","N","P","R","S","T","V"})),"Ф",""),"")</f>
        <v/>
      </c>
    </row>
    <row r="306" spans="4:9" x14ac:dyDescent="0.3">
      <c r="D306" s="48" t="str">
        <f>CONCATENATE(УЧРЕЖДЕНИЯ!$A$11)</f>
        <v>культура</v>
      </c>
      <c r="E306" s="99" t="s">
        <v>352</v>
      </c>
      <c r="F306" s="102">
        <v>2233</v>
      </c>
      <c r="G306" s="102">
        <v>244</v>
      </c>
      <c r="H306" s="17" t="s">
        <v>196</v>
      </c>
      <c r="I306" s="100" t="str">
        <f>IF(OR(F306=152,F306=162,F306=510),IF((OR(LEFT(RIGHT(E306,13),1)={"A","D","E","F","G","I","L","N","P","R","S","T","V"})),"Ф",""),"")</f>
        <v/>
      </c>
    </row>
    <row r="307" spans="4:9" x14ac:dyDescent="0.3">
      <c r="D307" s="48" t="str">
        <f>CONCATENATE(УЧРЕЖДЕНИЯ!$A$11)</f>
        <v>культура</v>
      </c>
      <c r="E307" s="99" t="s">
        <v>351</v>
      </c>
      <c r="F307" s="102">
        <v>225</v>
      </c>
      <c r="G307" s="102">
        <v>244</v>
      </c>
      <c r="H307" s="17" t="s">
        <v>196</v>
      </c>
      <c r="I307" s="100" t="str">
        <f>IF(OR(F307=152,F307=162,F307=510),IF((OR(LEFT(RIGHT(E307,13),1)={"A","D","E","F","G","I","L","N","P","R","S","T","V"})),"Ф",""),"")</f>
        <v/>
      </c>
    </row>
    <row r="308" spans="4:9" x14ac:dyDescent="0.3">
      <c r="D308" s="48" t="str">
        <f>CONCATENATE(УЧРЕЖДЕНИЯ!$A$11)</f>
        <v>культура</v>
      </c>
      <c r="E308" s="99" t="s">
        <v>351</v>
      </c>
      <c r="F308" s="102">
        <v>226</v>
      </c>
      <c r="G308" s="102">
        <v>244</v>
      </c>
      <c r="H308" s="17" t="s">
        <v>196</v>
      </c>
      <c r="I308" s="100" t="str">
        <f>IF(OR(F308=152,F308=162,F308=510),IF((OR(LEFT(RIGHT(E308,13),1)={"A","D","E","F","G","I","L","N","P","R","S","T","V"})),"Ф",""),"")</f>
        <v/>
      </c>
    </row>
    <row r="309" spans="4:9" x14ac:dyDescent="0.3">
      <c r="D309" s="48" t="str">
        <f>CONCATENATE(УЧРЕЖДЕНИЯ!$A$11)</f>
        <v>культура</v>
      </c>
      <c r="E309" s="99" t="s">
        <v>351</v>
      </c>
      <c r="F309" s="102">
        <v>228</v>
      </c>
      <c r="G309" s="102">
        <v>244</v>
      </c>
      <c r="H309" s="17" t="s">
        <v>196</v>
      </c>
      <c r="I309" s="100" t="str">
        <f>IF(OR(F309=152,F309=162,F309=510),IF((OR(LEFT(RIGHT(E309,13),1)={"A","D","E","F","G","I","L","N","P","R","S","T","V"})),"Ф",""),"")</f>
        <v/>
      </c>
    </row>
    <row r="310" spans="4:9" x14ac:dyDescent="0.3">
      <c r="D310" s="48" t="str">
        <f>CONCATENATE(УЧРЕЖДЕНИЯ!$A$11)</f>
        <v>культура</v>
      </c>
      <c r="E310" s="99" t="s">
        <v>351</v>
      </c>
      <c r="F310" s="102">
        <v>296</v>
      </c>
      <c r="G310" s="102">
        <v>244</v>
      </c>
      <c r="H310" s="17" t="s">
        <v>196</v>
      </c>
      <c r="I310" s="100" t="str">
        <f>IF(OR(F310=152,F310=162,F310=510),IF((OR(LEFT(RIGHT(E310,13),1)={"A","D","E","F","G","I","L","N","P","R","S","T","V"})),"Ф",""),"")</f>
        <v/>
      </c>
    </row>
    <row r="311" spans="4:9" x14ac:dyDescent="0.3">
      <c r="D311" s="48" t="str">
        <f>CONCATENATE(УЧРЕЖДЕНИЯ!$A$11)</f>
        <v>культура</v>
      </c>
      <c r="E311" s="99" t="s">
        <v>351</v>
      </c>
      <c r="F311" s="102">
        <v>310</v>
      </c>
      <c r="G311" s="102">
        <v>244</v>
      </c>
      <c r="H311" s="17" t="s">
        <v>196</v>
      </c>
      <c r="I311" s="100" t="str">
        <f>IF(OR(F311=152,F311=162,F311=510),IF((OR(LEFT(RIGHT(E311,13),1)={"A","D","E","F","G","I","L","N","P","R","S","T","V"})),"Ф",""),"")</f>
        <v/>
      </c>
    </row>
    <row r="312" spans="4:9" x14ac:dyDescent="0.3">
      <c r="D312" s="48" t="str">
        <f>CONCATENATE(УЧРЕЖДЕНИЯ!$A$11)</f>
        <v>культура</v>
      </c>
      <c r="E312" s="99" t="s">
        <v>351</v>
      </c>
      <c r="F312" s="102">
        <v>341</v>
      </c>
      <c r="G312" s="102">
        <v>244</v>
      </c>
      <c r="H312" s="17" t="s">
        <v>196</v>
      </c>
      <c r="I312" s="100" t="str">
        <f>IF(OR(F312=152,F312=162,F312=510),IF((OR(LEFT(RIGHT(E312,13),1)={"A","D","E","F","G","I","L","N","P","R","S","T","V"})),"Ф",""),"")</f>
        <v/>
      </c>
    </row>
    <row r="313" spans="4:9" x14ac:dyDescent="0.3">
      <c r="D313" s="48" t="str">
        <f>CONCATENATE(УЧРЕЖДЕНИЯ!$A$11)</f>
        <v>культура</v>
      </c>
      <c r="E313" s="99" t="s">
        <v>351</v>
      </c>
      <c r="F313" s="102">
        <v>342</v>
      </c>
      <c r="G313" s="102">
        <v>244</v>
      </c>
      <c r="H313" s="17" t="s">
        <v>196</v>
      </c>
      <c r="I313" s="100" t="str">
        <f>IF(OR(F313=152,F313=162,F313=510),IF((OR(LEFT(RIGHT(E313,13),1)={"A","D","E","F","G","I","L","N","P","R","S","T","V"})),"Ф",""),"")</f>
        <v/>
      </c>
    </row>
    <row r="314" spans="4:9" x14ac:dyDescent="0.3">
      <c r="D314" s="48" t="str">
        <f>CONCATENATE(УЧРЕЖДЕНИЯ!$A$11)</f>
        <v>культура</v>
      </c>
      <c r="E314" s="99" t="s">
        <v>351</v>
      </c>
      <c r="F314" s="102">
        <v>343</v>
      </c>
      <c r="G314" s="102">
        <v>244</v>
      </c>
      <c r="H314" s="17" t="s">
        <v>196</v>
      </c>
      <c r="I314" s="100" t="str">
        <f>IF(OR(F314=152,F314=162,F314=510),IF((OR(LEFT(RIGHT(E314,13),1)={"A","D","E","F","G","I","L","N","P","R","S","T","V"})),"Ф",""),"")</f>
        <v/>
      </c>
    </row>
    <row r="315" spans="4:9" x14ac:dyDescent="0.3">
      <c r="D315" s="48" t="str">
        <f>CONCATENATE(УЧРЕЖДЕНИЯ!$A$11)</f>
        <v>культура</v>
      </c>
      <c r="E315" s="99" t="s">
        <v>351</v>
      </c>
      <c r="F315" s="102">
        <v>344</v>
      </c>
      <c r="G315" s="102">
        <v>244</v>
      </c>
      <c r="H315" s="17" t="s">
        <v>196</v>
      </c>
      <c r="I315" s="100" t="str">
        <f>IF(OR(F315=152,F315=162,F315=510),IF((OR(LEFT(RIGHT(E315,13),1)={"A","D","E","F","G","I","L","N","P","R","S","T","V"})),"Ф",""),"")</f>
        <v/>
      </c>
    </row>
    <row r="316" spans="4:9" x14ac:dyDescent="0.3">
      <c r="D316" s="48" t="str">
        <f>CONCATENATE(УЧРЕЖДЕНИЯ!$A$11)</f>
        <v>культура</v>
      </c>
      <c r="E316" s="99" t="s">
        <v>351</v>
      </c>
      <c r="F316" s="102">
        <v>345</v>
      </c>
      <c r="G316" s="102">
        <v>244</v>
      </c>
      <c r="H316" s="17" t="s">
        <v>196</v>
      </c>
      <c r="I316" s="100" t="str">
        <f>IF(OR(F316=152,F316=162,F316=510),IF((OR(LEFT(RIGHT(E316,13),1)={"A","D","E","F","G","I","L","N","P","R","S","T","V"})),"Ф",""),"")</f>
        <v/>
      </c>
    </row>
    <row r="317" spans="4:9" x14ac:dyDescent="0.3">
      <c r="D317" s="48" t="str">
        <f>CONCATENATE(УЧРЕЖДЕНИЯ!$A$11)</f>
        <v>культура</v>
      </c>
      <c r="E317" s="99" t="s">
        <v>351</v>
      </c>
      <c r="F317" s="102">
        <v>346</v>
      </c>
      <c r="G317" s="102">
        <v>244</v>
      </c>
      <c r="H317" s="17" t="s">
        <v>196</v>
      </c>
      <c r="I317" s="100" t="str">
        <f>IF(OR(F317=152,F317=162,F317=510),IF((OR(LEFT(RIGHT(E317,13),1)={"A","D","E","F","G","I","L","N","P","R","S","T","V"})),"Ф",""),"")</f>
        <v/>
      </c>
    </row>
    <row r="318" spans="4:9" x14ac:dyDescent="0.3">
      <c r="D318" s="48" t="str">
        <f>CONCATENATE(УЧРЕЖДЕНИЯ!$A$11)</f>
        <v>культура</v>
      </c>
      <c r="E318" s="99" t="s">
        <v>351</v>
      </c>
      <c r="F318" s="102">
        <v>347</v>
      </c>
      <c r="G318" s="102">
        <v>244</v>
      </c>
      <c r="H318" s="17" t="s">
        <v>196</v>
      </c>
      <c r="I318" s="100" t="str">
        <f>IF(OR(F318=152,F318=162,F318=510),IF((OR(LEFT(RIGHT(E318,13),1)={"A","D","E","F","G","I","L","N","P","R","S","T","V"})),"Ф",""),"")</f>
        <v/>
      </c>
    </row>
    <row r="319" spans="4:9" x14ac:dyDescent="0.3">
      <c r="D319" s="48" t="str">
        <f>CONCATENATE(УЧРЕЖДЕНИЯ!$A$11)</f>
        <v>культура</v>
      </c>
      <c r="E319" s="99" t="s">
        <v>351</v>
      </c>
      <c r="F319" s="102">
        <v>349</v>
      </c>
      <c r="G319" s="102">
        <v>244</v>
      </c>
      <c r="H319" s="17" t="s">
        <v>196</v>
      </c>
      <c r="I319" s="100" t="str">
        <f>IF(OR(F319=152,F319=162,F319=510),IF((OR(LEFT(RIGHT(E319,13),1)={"A","D","E","F","G","I","L","N","P","R","S","T","V"})),"Ф",""),"")</f>
        <v/>
      </c>
    </row>
    <row r="320" spans="4:9" x14ac:dyDescent="0.3">
      <c r="D320" s="48" t="str">
        <f>CONCATENATE(УЧРЕЖДЕНИЯ!$A$11)</f>
        <v>культура</v>
      </c>
      <c r="E320" s="99" t="s">
        <v>683</v>
      </c>
      <c r="F320" s="102">
        <v>2231</v>
      </c>
      <c r="G320" s="102">
        <v>247</v>
      </c>
      <c r="H320" s="17" t="s">
        <v>196</v>
      </c>
      <c r="I320" s="100" t="str">
        <f>IF(OR(F320=152,F320=162,F320=510),IF((OR(LEFT(RIGHT(E320,13),1)={"A","D","E","F","G","I","L","N","P","R","S","T","V"})),"Ф",""),"")</f>
        <v/>
      </c>
    </row>
    <row r="321" spans="4:9" x14ac:dyDescent="0.3">
      <c r="D321" s="48" t="str">
        <f>CONCATENATE(УЧРЕЖДЕНИЯ!$A$11)</f>
        <v>культура</v>
      </c>
      <c r="E321" s="99" t="s">
        <v>695</v>
      </c>
      <c r="F321" s="102">
        <v>2232</v>
      </c>
      <c r="G321" s="102">
        <v>247</v>
      </c>
      <c r="H321" s="17" t="s">
        <v>196</v>
      </c>
      <c r="I321" s="100" t="str">
        <f>IF(OR(F321=152,F321=162,F321=510),IF((OR(LEFT(RIGHT(E321,13),1)={"A","D","E","F","G","I","L","N","P","R","S","T","V"})),"Ф",""),"")</f>
        <v/>
      </c>
    </row>
    <row r="322" spans="4:9" x14ac:dyDescent="0.3">
      <c r="D322" s="48" t="str">
        <f>CONCATENATE(УЧРЕЖДЕНИЯ!$A$11)</f>
        <v>культура</v>
      </c>
      <c r="E322" s="99" t="s">
        <v>353</v>
      </c>
      <c r="F322" s="102">
        <v>262</v>
      </c>
      <c r="G322" s="102">
        <v>360</v>
      </c>
      <c r="H322" s="17" t="s">
        <v>196</v>
      </c>
      <c r="I322" s="100" t="str">
        <f>IF(OR(F322=152,F322=162,F322=510),IF((OR(LEFT(RIGHT(E322,13),1)={"A","D","E","F","G","I","L","N","P","R","S","T","V"})),"Ф",""),"")</f>
        <v/>
      </c>
    </row>
    <row r="323" spans="4:9" x14ac:dyDescent="0.3">
      <c r="D323" s="48" t="str">
        <f>CONCATENATE(УЧРЕЖДЕНИЯ!$A$11)</f>
        <v>культура</v>
      </c>
      <c r="E323" s="99" t="s">
        <v>346</v>
      </c>
      <c r="F323" s="102">
        <v>510</v>
      </c>
      <c r="G323" s="102">
        <v>510</v>
      </c>
      <c r="H323" s="17" t="s">
        <v>196</v>
      </c>
      <c r="I323" s="100" t="str">
        <f>IF(OR(F323=152,F323=162,F323=510),IF((OR(LEFT(RIGHT(E323,13),1)={"A","D","E","F","G","I","L","N","P","R","S","T","V"})),"Ф",""),"")</f>
        <v/>
      </c>
    </row>
    <row r="324" spans="4:9" x14ac:dyDescent="0.3">
      <c r="D324" s="48" t="str">
        <f>CONCATENATE(УЧРЕЖДЕНИЯ!$A$11)</f>
        <v>культура</v>
      </c>
      <c r="E324" s="99" t="s">
        <v>358</v>
      </c>
      <c r="F324" s="102">
        <v>296</v>
      </c>
      <c r="G324" s="102">
        <v>831</v>
      </c>
      <c r="H324" s="17" t="s">
        <v>196</v>
      </c>
      <c r="I324" s="100" t="str">
        <f>IF(OR(F324=152,F324=162,F324=510),IF((OR(LEFT(RIGHT(E324,13),1)={"A","D","E","F","G","I","L","N","P","R","S","T","V"})),"Ф",""),"")</f>
        <v/>
      </c>
    </row>
    <row r="325" spans="4:9" x14ac:dyDescent="0.3">
      <c r="D325" s="48" t="str">
        <f>CONCATENATE(УЧРЕЖДЕНИЯ!$A$11)</f>
        <v>культура</v>
      </c>
      <c r="E325" s="99" t="s">
        <v>358</v>
      </c>
      <c r="F325" s="102">
        <v>297</v>
      </c>
      <c r="G325" s="102">
        <v>831</v>
      </c>
      <c r="H325" s="17" t="s">
        <v>196</v>
      </c>
      <c r="I325" s="100" t="str">
        <f>IF(OR(F325=152,F325=162,F325=510),IF((OR(LEFT(RIGHT(E325,13),1)={"A","D","E","F","G","I","L","N","P","R","S","T","V"})),"Ф",""),"")</f>
        <v/>
      </c>
    </row>
    <row r="326" spans="4:9" x14ac:dyDescent="0.3">
      <c r="D326" s="48" t="str">
        <f>CONCATENATE(УЧРЕЖДЕНИЯ!$A$11)</f>
        <v>культура</v>
      </c>
      <c r="E326" s="99" t="s">
        <v>354</v>
      </c>
      <c r="F326" s="102">
        <v>291</v>
      </c>
      <c r="G326" s="102">
        <v>851</v>
      </c>
      <c r="H326" s="17" t="s">
        <v>196</v>
      </c>
      <c r="I326" s="100" t="str">
        <f>IF(OR(F326=152,F326=162,F326=510),IF((OR(LEFT(RIGHT(E326,13),1)={"A","D","E","F","G","I","L","N","P","R","S","T","V"})),"Ф",""),"")</f>
        <v/>
      </c>
    </row>
    <row r="327" spans="4:9" x14ac:dyDescent="0.3">
      <c r="D327" s="48" t="str">
        <f>CONCATENATE(УЧРЕЖДЕНИЯ!$A$11)</f>
        <v>культура</v>
      </c>
      <c r="E327" s="99" t="s">
        <v>356</v>
      </c>
      <c r="F327" s="102">
        <v>291</v>
      </c>
      <c r="G327" s="102">
        <v>853</v>
      </c>
      <c r="H327" s="17" t="s">
        <v>196</v>
      </c>
      <c r="I327" s="100" t="str">
        <f>IF(OR(F327=152,F327=162,F327=510),IF((OR(LEFT(RIGHT(E327,13),1)={"A","D","E","F","G","I","L","N","P","R","S","T","V"})),"Ф",""),"")</f>
        <v/>
      </c>
    </row>
    <row r="328" spans="4:9" x14ac:dyDescent="0.3">
      <c r="D328" s="48" t="str">
        <f>CONCATENATE(УЧРЕЖДЕНИЯ!$A$11)</f>
        <v>культура</v>
      </c>
      <c r="E328" s="99" t="s">
        <v>356</v>
      </c>
      <c r="F328" s="102">
        <v>292</v>
      </c>
      <c r="G328" s="102">
        <v>853</v>
      </c>
      <c r="H328" s="17" t="s">
        <v>196</v>
      </c>
      <c r="I328" s="100" t="str">
        <f>IF(OR(F328=152,F328=162,F328=510),IF((OR(LEFT(RIGHT(E328,13),1)={"A","D","E","F","G","I","L","N","P","R","S","T","V"})),"Ф",""),"")</f>
        <v/>
      </c>
    </row>
    <row r="329" spans="4:9" x14ac:dyDescent="0.3">
      <c r="D329" s="48" t="str">
        <f>CONCATENATE(УЧРЕЖДЕНИЯ!$A$11)</f>
        <v>культура</v>
      </c>
      <c r="E329" s="99" t="s">
        <v>356</v>
      </c>
      <c r="F329" s="102">
        <v>293</v>
      </c>
      <c r="G329" s="102">
        <v>853</v>
      </c>
      <c r="H329" s="17" t="s">
        <v>196</v>
      </c>
      <c r="I329" s="100" t="str">
        <f>IF(OR(F329=152,F329=162,F329=510),IF((OR(LEFT(RIGHT(E329,13),1)={"A","D","E","F","G","I","L","N","P","R","S","T","V"})),"Ф",""),"")</f>
        <v/>
      </c>
    </row>
    <row r="330" spans="4:9" x14ac:dyDescent="0.3">
      <c r="D330" s="48" t="str">
        <f>CONCATENATE(УЧРЕЖДЕНИЯ!$A$11)</f>
        <v>культура</v>
      </c>
      <c r="E330" s="99" t="s">
        <v>360</v>
      </c>
      <c r="F330" s="100">
        <v>510</v>
      </c>
      <c r="G330" s="102">
        <v>510</v>
      </c>
      <c r="H330" s="17" t="s">
        <v>196</v>
      </c>
      <c r="I330" s="100" t="str">
        <f>IF(OR(F330=152,F330=162,F330=510),IF((OR(LEFT(RIGHT(E330,13),1)={"A","D","E","F","G","I","L","N","P","R","S","T","V"})),"Ф",""),"")</f>
        <v/>
      </c>
    </row>
    <row r="331" spans="4:9" x14ac:dyDescent="0.3">
      <c r="D331" s="48" t="str">
        <f>CONCATENATE(УЧРЕЖДЕНИЯ!$A$11)</f>
        <v>культура</v>
      </c>
      <c r="E331" s="99" t="s">
        <v>361</v>
      </c>
      <c r="F331" s="100">
        <v>6101</v>
      </c>
      <c r="G331" s="100">
        <v>610</v>
      </c>
      <c r="H331" s="17" t="s">
        <v>196</v>
      </c>
      <c r="I331" s="100" t="str">
        <f>IF(OR(F331=152,F331=162,F331=510),IF((OR(LEFT(RIGHT(E331,13),1)={"A","D","E","F","G","I","L","N","P","R","S","T","V"})),"Ф",""),"")</f>
        <v/>
      </c>
    </row>
    <row r="332" spans="4:9" x14ac:dyDescent="0.3">
      <c r="D332" s="48" t="str">
        <f>CONCATENATE(УЧРЕЖДЕНИЯ!$A$11)</f>
        <v>культура</v>
      </c>
      <c r="E332" s="99" t="s">
        <v>363</v>
      </c>
      <c r="F332" s="100">
        <v>155</v>
      </c>
      <c r="G332" s="100">
        <v>150</v>
      </c>
      <c r="H332" s="17" t="s">
        <v>196</v>
      </c>
      <c r="I332" s="100" t="str">
        <f>IF(OR(F332=152,F332=162,F332=510),IF((OR(LEFT(RIGHT(E332,13),1)={"A","D","E","F","G","I","L","N","P","R","S","T","V"})),"Ф",""),"")</f>
        <v/>
      </c>
    </row>
    <row r="333" spans="4:9" x14ac:dyDescent="0.3">
      <c r="D333" s="48" t="str">
        <f>CONCATENATE(УЧРЕЖДЕНИЯ!$A$11)</f>
        <v>культура</v>
      </c>
      <c r="E333" s="99" t="s">
        <v>364</v>
      </c>
      <c r="F333" s="100">
        <v>225</v>
      </c>
      <c r="G333" s="100">
        <v>244</v>
      </c>
      <c r="H333" s="17" t="s">
        <v>196</v>
      </c>
      <c r="I333" s="100" t="str">
        <f>IF(OR(F333=152,F333=162,F333=510),IF((OR(LEFT(RIGHT(E333,13),1)={"A","D","E","F","G","I","L","N","P","R","S","T","V"})),"Ф",""),"")</f>
        <v/>
      </c>
    </row>
    <row r="334" spans="4:9" x14ac:dyDescent="0.3">
      <c r="D334" s="48" t="str">
        <f>CONCATENATE(УЧРЕЖДЕНИЯ!$A$11)</f>
        <v>культура</v>
      </c>
      <c r="E334" s="99" t="s">
        <v>364</v>
      </c>
      <c r="F334" s="100">
        <v>226</v>
      </c>
      <c r="G334" s="100">
        <v>244</v>
      </c>
      <c r="H334" s="17" t="s">
        <v>196</v>
      </c>
      <c r="I334" s="100" t="str">
        <f>IF(OR(F334=152,F334=162,F334=510),IF((OR(LEFT(RIGHT(E334,13),1)={"A","D","E","F","G","I","L","N","P","R","S","T","V"})),"Ф",""),"")</f>
        <v/>
      </c>
    </row>
    <row r="335" spans="4:9" x14ac:dyDescent="0.3">
      <c r="D335" s="48" t="str">
        <f>CONCATENATE(УЧРЕЖДЕНИЯ!$A$11)</f>
        <v>культура</v>
      </c>
      <c r="E335" s="99" t="s">
        <v>364</v>
      </c>
      <c r="F335" s="100">
        <v>296</v>
      </c>
      <c r="G335" s="100">
        <v>244</v>
      </c>
      <c r="H335" s="17" t="s">
        <v>196</v>
      </c>
      <c r="I335" s="100" t="str">
        <f>IF(OR(F335=152,F335=162,F335=510),IF((OR(LEFT(RIGHT(E335,13),1)={"A","D","E","F","G","I","L","N","P","R","S","T","V"})),"Ф",""),"")</f>
        <v/>
      </c>
    </row>
    <row r="336" spans="4:9" x14ac:dyDescent="0.3">
      <c r="D336" s="48" t="str">
        <f>CONCATENATE(УЧРЕЖДЕНИЯ!$A$11)</f>
        <v>культура</v>
      </c>
      <c r="E336" s="99" t="s">
        <v>364</v>
      </c>
      <c r="F336" s="100">
        <v>310</v>
      </c>
      <c r="G336" s="100">
        <v>244</v>
      </c>
      <c r="H336" s="17" t="s">
        <v>196</v>
      </c>
      <c r="I336" s="100" t="str">
        <f>IF(OR(F336=152,F336=162,F336=510),IF((OR(LEFT(RIGHT(E336,13),1)={"A","D","E","F","G","I","L","N","P","R","S","T","V"})),"Ф",""),"")</f>
        <v/>
      </c>
    </row>
    <row r="337" spans="2:9" x14ac:dyDescent="0.3">
      <c r="D337" s="48" t="str">
        <f>CONCATENATE(УЧРЕЖДЕНИЯ!$A$11)</f>
        <v>культура</v>
      </c>
      <c r="E337" s="99" t="s">
        <v>364</v>
      </c>
      <c r="F337" s="100">
        <v>345</v>
      </c>
      <c r="G337" s="100">
        <v>244</v>
      </c>
      <c r="H337" s="17" t="s">
        <v>196</v>
      </c>
      <c r="I337" s="100" t="str">
        <f>IF(OR(F337=152,F337=162,F337=510),IF((OR(LEFT(RIGHT(E337,13),1)={"A","D","E","F","G","I","L","N","P","R","S","T","V"})),"Ф",""),"")</f>
        <v/>
      </c>
    </row>
    <row r="338" spans="2:9" x14ac:dyDescent="0.3">
      <c r="D338" s="48" t="str">
        <f>CONCATENATE(УЧРЕЖДЕНИЯ!$A$11)</f>
        <v>культура</v>
      </c>
      <c r="E338" s="99" t="s">
        <v>364</v>
      </c>
      <c r="F338" s="100">
        <v>346</v>
      </c>
      <c r="G338" s="100">
        <v>244</v>
      </c>
      <c r="H338" s="17" t="s">
        <v>196</v>
      </c>
      <c r="I338" s="100" t="str">
        <f>IF(OR(F338=152,F338=162,F338=510),IF((OR(LEFT(RIGHT(E338,13),1)={"A","D","E","F","G","I","L","N","P","R","S","T","V"})),"Ф",""),"")</f>
        <v/>
      </c>
    </row>
    <row r="339" spans="2:9" x14ac:dyDescent="0.3">
      <c r="D339" s="48" t="str">
        <f>CONCATENATE(УЧРЕЖДЕНИЯ!$A$11)</f>
        <v>культура</v>
      </c>
      <c r="E339" s="99" t="s">
        <v>364</v>
      </c>
      <c r="F339" s="100">
        <v>347</v>
      </c>
      <c r="G339" s="100">
        <v>244</v>
      </c>
      <c r="H339" s="17" t="s">
        <v>196</v>
      </c>
      <c r="I339" s="100" t="str">
        <f>IF(OR(F339=152,F339=162,F339=510),IF((OR(LEFT(RIGHT(E339,13),1)={"A","D","E","F","G","I","L","N","P","R","S","T","V"})),"Ф",""),"")</f>
        <v/>
      </c>
    </row>
    <row r="340" spans="2:9" x14ac:dyDescent="0.3">
      <c r="D340" s="48" t="str">
        <f>CONCATENATE(УЧРЕЖДЕНИЯ!$A$11)</f>
        <v>культура</v>
      </c>
      <c r="E340" s="99" t="s">
        <v>364</v>
      </c>
      <c r="F340" s="100">
        <v>349</v>
      </c>
      <c r="G340" s="100">
        <v>244</v>
      </c>
      <c r="H340" s="17" t="s">
        <v>196</v>
      </c>
      <c r="I340" s="100" t="str">
        <f>IF(OR(F340=152,F340=162,F340=510),IF((OR(LEFT(RIGHT(E340,13),1)={"A","D","E","F","G","I","L","N","P","R","S","T","V"})),"Ф",""),"")</f>
        <v/>
      </c>
    </row>
    <row r="341" spans="2:9" x14ac:dyDescent="0.3">
      <c r="D341" s="48" t="str">
        <f>CONCATENATE(УЧРЕЖДЕНИЯ!$A$11)</f>
        <v>культура</v>
      </c>
      <c r="E341" s="99" t="s">
        <v>365</v>
      </c>
      <c r="F341" s="100">
        <v>296</v>
      </c>
      <c r="G341" s="100">
        <v>350</v>
      </c>
      <c r="H341" s="17" t="s">
        <v>196</v>
      </c>
      <c r="I341" s="100" t="str">
        <f>IF(OR(F341=152,F341=162,F341=510),IF((OR(LEFT(RIGHT(E341,13),1)={"A","D","E","F","G","I","L","N","P","R","S","T","V"})),"Ф",""),"")</f>
        <v/>
      </c>
    </row>
    <row r="342" spans="2:9" x14ac:dyDescent="0.3">
      <c r="D342" s="48" t="str">
        <f>CONCATENATE(УЧРЕЖДЕНИЯ!$A$11)</f>
        <v>культура</v>
      </c>
      <c r="E342" s="99" t="s">
        <v>362</v>
      </c>
      <c r="F342" s="100">
        <v>510</v>
      </c>
      <c r="G342" s="102">
        <v>510</v>
      </c>
      <c r="H342" s="17" t="s">
        <v>196</v>
      </c>
      <c r="I342" s="100" t="str">
        <f>IF(OR(F342=152,F342=162,F342=510),IF((OR(LEFT(RIGHT(E342,13),1)={"A","D","E","F","G","I","L","N","P","R","S","T","V"})),"Ф",""),"")</f>
        <v/>
      </c>
    </row>
    <row r="343" spans="2:9" x14ac:dyDescent="0.3">
      <c r="D343" s="48" t="str">
        <f>CONCATENATE(УЧРЕЖДЕНИЯ!$A$11)</f>
        <v>культура</v>
      </c>
      <c r="E343" s="99" t="s">
        <v>366</v>
      </c>
      <c r="F343" s="100">
        <v>297</v>
      </c>
      <c r="G343" s="100">
        <v>853</v>
      </c>
      <c r="H343" s="17" t="s">
        <v>196</v>
      </c>
      <c r="I343" s="100" t="str">
        <f>IF(OR(F343=152,F343=162,F343=510),IF((OR(LEFT(RIGHT(E343,13),1)={"A","D","E","F","G","I","L","N","P","R","S","T","V"})),"Ф",""),"")</f>
        <v/>
      </c>
    </row>
    <row r="344" spans="2:9" x14ac:dyDescent="0.3">
      <c r="B344" s="48" t="s">
        <v>735</v>
      </c>
      <c r="C344" s="48" t="s">
        <v>204</v>
      </c>
      <c r="D344" s="48" t="str">
        <f>CONCATENATE(УЧРЕЖДЕНИЯ!$A$12)</f>
        <v>спорт</v>
      </c>
      <c r="E344" s="99" t="s">
        <v>368</v>
      </c>
      <c r="F344" s="100">
        <v>121</v>
      </c>
      <c r="G344" s="100">
        <v>120</v>
      </c>
      <c r="H344" s="17" t="s">
        <v>197</v>
      </c>
      <c r="I344" s="100" t="str">
        <f>IF(OR(F344=152,F344=162,F344=510),IF((OR(LEFT(RIGHT(E344,13),1)={"A","D","E","F","G","I","L","N","P","R","S","T","V"})),"Ф",""),"")</f>
        <v/>
      </c>
    </row>
    <row r="345" spans="2:9" x14ac:dyDescent="0.3">
      <c r="D345" s="48" t="str">
        <f>CONCATENATE(УЧРЕЖДЕНИЯ!$A$12)</f>
        <v>спорт</v>
      </c>
      <c r="E345" s="99" t="s">
        <v>369</v>
      </c>
      <c r="F345" s="102">
        <v>225</v>
      </c>
      <c r="G345" s="102">
        <v>244</v>
      </c>
      <c r="H345" s="17" t="s">
        <v>197</v>
      </c>
      <c r="I345" s="100" t="str">
        <f>IF(OR(F345=152,F345=162,F345=510),IF((OR(LEFT(RIGHT(E345,13),1)={"A","D","E","F","G","I","L","N","P","R","S","T","V"})),"Ф",""),"")</f>
        <v/>
      </c>
    </row>
    <row r="346" spans="2:9" x14ac:dyDescent="0.3">
      <c r="D346" s="48" t="str">
        <f>CONCATENATE(УЧРЕЖДЕНИЯ!$A$12)</f>
        <v>спорт</v>
      </c>
      <c r="E346" s="99" t="s">
        <v>369</v>
      </c>
      <c r="F346" s="102">
        <v>226</v>
      </c>
      <c r="G346" s="102">
        <v>244</v>
      </c>
      <c r="H346" s="17" t="s">
        <v>197</v>
      </c>
      <c r="I346" s="100" t="str">
        <f>IF(OR(F346=152,F346=162,F346=510),IF((OR(LEFT(RIGHT(E346,13),1)={"A","D","E","F","G","I","L","N","P","R","S","T","V"})),"Ф",""),"")</f>
        <v/>
      </c>
    </row>
    <row r="347" spans="2:9" x14ac:dyDescent="0.3">
      <c r="D347" s="48" t="str">
        <f>CONCATENATE(УЧРЕЖДЕНИЯ!$A$12)</f>
        <v>спорт</v>
      </c>
      <c r="E347" s="99" t="s">
        <v>369</v>
      </c>
      <c r="F347" s="102">
        <v>310</v>
      </c>
      <c r="G347" s="102">
        <v>244</v>
      </c>
      <c r="H347" s="17" t="s">
        <v>197</v>
      </c>
      <c r="I347" s="100" t="str">
        <f>IF(OR(F347=152,F347=162,F347=510),IF((OR(LEFT(RIGHT(E347,13),1)={"A","D","E","F","G","I","L","N","P","R","S","T","V"})),"Ф",""),"")</f>
        <v/>
      </c>
    </row>
    <row r="348" spans="2:9" x14ac:dyDescent="0.3">
      <c r="D348" s="48" t="str">
        <f>CONCATENATE(УЧРЕЖДЕНИЯ!$A$12)</f>
        <v>спорт</v>
      </c>
      <c r="E348" s="99" t="s">
        <v>369</v>
      </c>
      <c r="F348" s="102">
        <v>346</v>
      </c>
      <c r="G348" s="102">
        <v>244</v>
      </c>
      <c r="H348" s="17" t="s">
        <v>197</v>
      </c>
      <c r="I348" s="100" t="str">
        <f>IF(OR(F348=152,F348=162,F348=510),IF((OR(LEFT(RIGHT(E348,13),1)={"A","D","E","F","G","I","L","N","P","R","S","T","V"})),"Ф",""),"")</f>
        <v/>
      </c>
    </row>
    <row r="349" spans="2:9" x14ac:dyDescent="0.3">
      <c r="D349" s="48" t="str">
        <f>CONCATENATE(УЧРЕЖДЕНИЯ!$A$12)</f>
        <v>спорт</v>
      </c>
      <c r="E349" s="99" t="s">
        <v>684</v>
      </c>
      <c r="F349" s="102">
        <v>2231</v>
      </c>
      <c r="G349" s="102">
        <v>247</v>
      </c>
      <c r="H349" s="17" t="s">
        <v>197</v>
      </c>
      <c r="I349" s="100" t="str">
        <f>IF(OR(F349=152,F349=162,F349=510),IF((OR(LEFT(RIGHT(E349,13),1)={"A","D","E","F","G","I","L","N","P","R","S","T","V"})),"Ф",""),"")</f>
        <v/>
      </c>
    </row>
    <row r="350" spans="2:9" x14ac:dyDescent="0.3">
      <c r="D350" s="48" t="str">
        <f>CONCATENATE(УЧРЕЖДЕНИЯ!$A$12)</f>
        <v>спорт</v>
      </c>
      <c r="E350" s="99" t="s">
        <v>696</v>
      </c>
      <c r="F350" s="102">
        <v>2232</v>
      </c>
      <c r="G350" s="102">
        <v>247</v>
      </c>
      <c r="H350" s="17" t="s">
        <v>197</v>
      </c>
      <c r="I350" s="100" t="str">
        <f>IF(OR(F350=152,F350=162,F350=510),IF((OR(LEFT(RIGHT(E350,13),1)={"A","D","E","F","G","I","L","N","P","R","S","T","V"})),"Ф",""),"")</f>
        <v/>
      </c>
    </row>
    <row r="351" spans="2:9" x14ac:dyDescent="0.3">
      <c r="D351" s="48" t="str">
        <f>CONCATENATE(УЧРЕЖДЕНИЯ!$A$12)</f>
        <v>спорт</v>
      </c>
      <c r="E351" s="99" t="s">
        <v>367</v>
      </c>
      <c r="F351" s="100">
        <v>510</v>
      </c>
      <c r="G351" s="100">
        <v>510</v>
      </c>
      <c r="H351" s="17" t="s">
        <v>197</v>
      </c>
      <c r="I351" s="100" t="str">
        <f>IF(OR(F351=152,F351=162,F351=510),IF((OR(LEFT(RIGHT(E351,13),1)={"A","D","E","F","G","I","L","N","P","R","S","T","V"})),"Ф",""),"")</f>
        <v/>
      </c>
    </row>
    <row r="352" spans="2:9" x14ac:dyDescent="0.3">
      <c r="D352" s="48" t="str">
        <f>CONCATENATE(УЧРЕЖДЕНИЯ!$A$12)</f>
        <v>спорт</v>
      </c>
      <c r="E352" s="99" t="s">
        <v>347</v>
      </c>
      <c r="F352" s="102">
        <v>131</v>
      </c>
      <c r="G352" s="102">
        <v>130</v>
      </c>
      <c r="H352" s="17" t="s">
        <v>197</v>
      </c>
      <c r="I352" s="100" t="str">
        <f>IF(OR(F352=152,F352=162,F352=510),IF((OR(LEFT(RIGHT(E352,13),1)={"A","D","E","F","G","I","L","N","P","R","S","T","V"})),"Ф",""),"")</f>
        <v/>
      </c>
    </row>
    <row r="353" spans="4:9" x14ac:dyDescent="0.3">
      <c r="D353" s="48" t="str">
        <f>CONCATENATE(УЧРЕЖДЕНИЯ!$A$12)</f>
        <v>спорт</v>
      </c>
      <c r="E353" s="99" t="s">
        <v>348</v>
      </c>
      <c r="F353" s="102">
        <v>211</v>
      </c>
      <c r="G353" s="102">
        <v>111</v>
      </c>
      <c r="H353" s="17" t="s">
        <v>197</v>
      </c>
      <c r="I353" s="100" t="str">
        <f>IF(OR(F353=152,F353=162,F353=510),IF((OR(LEFT(RIGHT(E353,13),1)={"A","D","E","F","G","I","L","N","P","R","S","T","V"})),"Ф",""),"")</f>
        <v/>
      </c>
    </row>
    <row r="354" spans="4:9" x14ac:dyDescent="0.3">
      <c r="D354" s="48" t="str">
        <f>CONCATENATE(УЧРЕЖДЕНИЯ!$A$12)</f>
        <v>спорт</v>
      </c>
      <c r="E354" s="99" t="s">
        <v>348</v>
      </c>
      <c r="F354" s="102">
        <v>266</v>
      </c>
      <c r="G354" s="102">
        <v>111</v>
      </c>
      <c r="H354" s="17" t="s">
        <v>197</v>
      </c>
      <c r="I354" s="100" t="str">
        <f>IF(OR(F354=152,F354=162,F354=510),IF((OR(LEFT(RIGHT(E354,13),1)={"A","D","E","F","G","I","L","N","P","R","S","T","V"})),"Ф",""),"")</f>
        <v/>
      </c>
    </row>
    <row r="355" spans="4:9" x14ac:dyDescent="0.3">
      <c r="D355" s="48" t="str">
        <f>CONCATENATE(УЧРЕЖДЕНИЯ!$A$12)</f>
        <v>спорт</v>
      </c>
      <c r="E355" s="99" t="s">
        <v>349</v>
      </c>
      <c r="F355" s="102">
        <v>212</v>
      </c>
      <c r="G355" s="102">
        <v>112</v>
      </c>
      <c r="H355" s="17" t="s">
        <v>197</v>
      </c>
      <c r="I355" s="100" t="str">
        <f>IF(OR(F355=152,F355=162,F355=510),IF((OR(LEFT(RIGHT(E355,13),1)={"A","D","E","F","G","I","L","N","P","R","S","T","V"})),"Ф",""),"")</f>
        <v/>
      </c>
    </row>
    <row r="356" spans="4:9" x14ac:dyDescent="0.3">
      <c r="D356" s="48" t="str">
        <f>CONCATENATE(УЧРЕЖДЕНИЯ!$A$12)</f>
        <v>спорт</v>
      </c>
      <c r="E356" s="99" t="s">
        <v>349</v>
      </c>
      <c r="F356" s="102">
        <v>266</v>
      </c>
      <c r="G356" s="102">
        <v>112</v>
      </c>
      <c r="H356" s="17" t="s">
        <v>197</v>
      </c>
      <c r="I356" s="100" t="str">
        <f>IF(OR(F356=152,F356=162,F356=510),IF((OR(LEFT(RIGHT(E356,13),1)={"A","D","E","F","G","I","L","N","P","R","S","T","V"})),"Ф",""),"")</f>
        <v/>
      </c>
    </row>
    <row r="357" spans="4:9" x14ac:dyDescent="0.3">
      <c r="D357" s="48" t="str">
        <f>CONCATENATE(УЧРЕЖДЕНИЯ!$A$12)</f>
        <v>спорт</v>
      </c>
      <c r="E357" s="99" t="s">
        <v>350</v>
      </c>
      <c r="F357" s="102">
        <v>213</v>
      </c>
      <c r="G357" s="102">
        <v>119</v>
      </c>
      <c r="H357" s="17" t="s">
        <v>197</v>
      </c>
      <c r="I357" s="100" t="str">
        <f>IF(OR(F357=152,F357=162,F357=510),IF((OR(LEFT(RIGHT(E357,13),1)={"A","D","E","F","G","I","L","N","P","R","S","T","V"})),"Ф",""),"")</f>
        <v/>
      </c>
    </row>
    <row r="358" spans="4:9" x14ac:dyDescent="0.3">
      <c r="D358" s="48" t="str">
        <f>CONCATENATE(УЧРЕЖДЕНИЯ!$A$12)</f>
        <v>спорт</v>
      </c>
      <c r="E358" s="99" t="s">
        <v>350</v>
      </c>
      <c r="F358" s="102">
        <v>267</v>
      </c>
      <c r="G358" s="102">
        <v>119</v>
      </c>
      <c r="H358" s="17" t="s">
        <v>197</v>
      </c>
      <c r="I358" s="100" t="str">
        <f>IF(OR(F358=152,F358=162,F358=510),IF((OR(LEFT(RIGHT(E358,13),1)={"A","D","E","F","G","I","L","N","P","R","S","T","V"})),"Ф",""),"")</f>
        <v/>
      </c>
    </row>
    <row r="359" spans="4:9" x14ac:dyDescent="0.3">
      <c r="D359" s="48" t="str">
        <f>CONCATENATE(УЧРЕЖДЕНИЯ!$A$12)</f>
        <v>спорт</v>
      </c>
      <c r="E359" s="99" t="s">
        <v>579</v>
      </c>
      <c r="F359" s="102">
        <v>189</v>
      </c>
      <c r="G359" s="102">
        <v>180</v>
      </c>
      <c r="H359" s="17" t="s">
        <v>197</v>
      </c>
      <c r="I359" s="100" t="str">
        <f>IF(OR(F359=152,F359=162,F359=510),IF((OR(LEFT(RIGHT(E359,13),1)={"A","D","E","F","G","I","L","N","P","R","S","T","V"})),"Ф",""),"")</f>
        <v/>
      </c>
    </row>
    <row r="360" spans="4:9" x14ac:dyDescent="0.3">
      <c r="D360" s="48" t="str">
        <f>CONCATENATE(УЧРЕЖДЕНИЯ!$A$12)</f>
        <v>спорт</v>
      </c>
      <c r="E360" s="99" t="s">
        <v>351</v>
      </c>
      <c r="F360" s="102">
        <v>221</v>
      </c>
      <c r="G360" s="102">
        <v>244</v>
      </c>
      <c r="H360" s="17" t="s">
        <v>197</v>
      </c>
      <c r="I360" s="100" t="str">
        <f>IF(OR(F360=152,F360=162,F360=510),IF((OR(LEFT(RIGHT(E360,13),1)={"A","D","E","F","G","I","L","N","P","R","S","T","V"})),"Ф",""),"")</f>
        <v/>
      </c>
    </row>
    <row r="361" spans="4:9" x14ac:dyDescent="0.3">
      <c r="D361" s="48" t="str">
        <f>CONCATENATE(УЧРЕЖДЕНИЯ!$A$12)</f>
        <v>спорт</v>
      </c>
      <c r="E361" s="99" t="s">
        <v>351</v>
      </c>
      <c r="F361" s="102">
        <v>222</v>
      </c>
      <c r="G361" s="102">
        <v>244</v>
      </c>
      <c r="H361" s="17" t="s">
        <v>197</v>
      </c>
      <c r="I361" s="100" t="str">
        <f>IF(OR(F361=152,F361=162,F361=510),IF((OR(LEFT(RIGHT(E361,13),1)={"A","D","E","F","G","I","L","N","P","R","S","T","V"})),"Ф",""),"")</f>
        <v/>
      </c>
    </row>
    <row r="362" spans="4:9" x14ac:dyDescent="0.3">
      <c r="D362" s="48" t="str">
        <f>CONCATENATE(УЧРЕЖДЕНИЯ!$A$12)</f>
        <v>спорт</v>
      </c>
      <c r="E362" s="99" t="s">
        <v>837</v>
      </c>
      <c r="F362" s="102">
        <v>2232</v>
      </c>
      <c r="G362" s="102">
        <v>244</v>
      </c>
      <c r="H362" s="17" t="s">
        <v>197</v>
      </c>
      <c r="I362" s="100" t="str">
        <f>IF(OR(F362=152,F362=162,F362=510),IF((OR(LEFT(RIGHT(E362,13),1)={"A","D","E","F","G","I","L","N","P","R","S","T","V"})),"Ф",""),"")</f>
        <v/>
      </c>
    </row>
    <row r="363" spans="4:9" x14ac:dyDescent="0.3">
      <c r="D363" s="48" t="str">
        <f>CONCATENATE(УЧРЕЖДЕНИЯ!$A$12)</f>
        <v>спорт</v>
      </c>
      <c r="E363" s="99" t="s">
        <v>352</v>
      </c>
      <c r="F363" s="102">
        <v>2233</v>
      </c>
      <c r="G363" s="102">
        <v>244</v>
      </c>
      <c r="H363" s="17" t="s">
        <v>197</v>
      </c>
      <c r="I363" s="100" t="str">
        <f>IF(OR(F363=152,F363=162,F363=510),IF((OR(LEFT(RIGHT(E363,13),1)={"A","D","E","F","G","I","L","N","P","R","S","T","V"})),"Ф",""),"")</f>
        <v/>
      </c>
    </row>
    <row r="364" spans="4:9" x14ac:dyDescent="0.3">
      <c r="D364" s="48" t="str">
        <f>CONCATENATE(УЧРЕЖДЕНИЯ!$A$12)</f>
        <v>спорт</v>
      </c>
      <c r="E364" s="99" t="s">
        <v>351</v>
      </c>
      <c r="F364" s="102">
        <v>224</v>
      </c>
      <c r="G364" s="102">
        <v>244</v>
      </c>
      <c r="H364" s="17" t="s">
        <v>197</v>
      </c>
      <c r="I364" s="100" t="str">
        <f>IF(OR(F364=152,F364=162,F364=510),IF((OR(LEFT(RIGHT(E364,13),1)={"A","D","E","F","G","I","L","N","P","R","S","T","V"})),"Ф",""),"")</f>
        <v/>
      </c>
    </row>
    <row r="365" spans="4:9" x14ac:dyDescent="0.3">
      <c r="D365" s="48" t="str">
        <f>CONCATENATE(УЧРЕЖДЕНИЯ!$A$12)</f>
        <v>спорт</v>
      </c>
      <c r="E365" s="99" t="s">
        <v>351</v>
      </c>
      <c r="F365" s="102">
        <v>225</v>
      </c>
      <c r="G365" s="102">
        <v>244</v>
      </c>
      <c r="H365" s="17" t="s">
        <v>197</v>
      </c>
      <c r="I365" s="100" t="str">
        <f>IF(OR(F365=152,F365=162,F365=510),IF((OR(LEFT(RIGHT(E365,13),1)={"A","D","E","F","G","I","L","N","P","R","S","T","V"})),"Ф",""),"")</f>
        <v/>
      </c>
    </row>
    <row r="366" spans="4:9" x14ac:dyDescent="0.3">
      <c r="D366" s="48" t="str">
        <f>CONCATENATE(УЧРЕЖДЕНИЯ!$A$12)</f>
        <v>спорт</v>
      </c>
      <c r="E366" s="99" t="s">
        <v>351</v>
      </c>
      <c r="F366" s="102">
        <v>226</v>
      </c>
      <c r="G366" s="102">
        <v>244</v>
      </c>
      <c r="H366" s="17" t="s">
        <v>197</v>
      </c>
      <c r="I366" s="100" t="str">
        <f>IF(OR(F366=152,F366=162,F366=510),IF((OR(LEFT(RIGHT(E366,13),1)={"A","D","E","F","G","I","L","N","P","R","S","T","V"})),"Ф",""),"")</f>
        <v/>
      </c>
    </row>
    <row r="367" spans="4:9" x14ac:dyDescent="0.3">
      <c r="D367" s="48" t="str">
        <f>CONCATENATE(УЧРЕЖДЕНИЯ!$A$12)</f>
        <v>спорт</v>
      </c>
      <c r="E367" s="99" t="s">
        <v>351</v>
      </c>
      <c r="F367" s="102">
        <v>228</v>
      </c>
      <c r="G367" s="102">
        <v>244</v>
      </c>
      <c r="H367" s="17" t="s">
        <v>197</v>
      </c>
      <c r="I367" s="100" t="str">
        <f>IF(OR(F367=152,F367=162,F367=510),IF((OR(LEFT(RIGHT(E367,13),1)={"A","D","E","F","G","I","L","N","P","R","S","T","V"})),"Ф",""),"")</f>
        <v/>
      </c>
    </row>
    <row r="368" spans="4:9" x14ac:dyDescent="0.3">
      <c r="D368" s="48" t="str">
        <f>CONCATENATE(УЧРЕЖДЕНИЯ!$A$12)</f>
        <v>спорт</v>
      </c>
      <c r="E368" s="99" t="s">
        <v>351</v>
      </c>
      <c r="F368" s="102">
        <v>310</v>
      </c>
      <c r="G368" s="102">
        <v>244</v>
      </c>
      <c r="H368" s="17" t="s">
        <v>197</v>
      </c>
      <c r="I368" s="100" t="str">
        <f>IF(OR(F368=152,F368=162,F368=510),IF((OR(LEFT(RIGHT(E368,13),1)={"A","D","E","F","G","I","L","N","P","R","S","T","V"})),"Ф",""),"")</f>
        <v/>
      </c>
    </row>
    <row r="369" spans="4:9" x14ac:dyDescent="0.3">
      <c r="D369" s="48" t="str">
        <f>CONCATENATE(УЧРЕЖДЕНИЯ!$A$12)</f>
        <v>спорт</v>
      </c>
      <c r="E369" s="99" t="s">
        <v>351</v>
      </c>
      <c r="F369" s="102">
        <v>342</v>
      </c>
      <c r="G369" s="102">
        <v>244</v>
      </c>
      <c r="H369" s="17" t="s">
        <v>197</v>
      </c>
      <c r="I369" s="100" t="str">
        <f>IF(OR(F369=152,F369=162,F369=510),IF((OR(LEFT(RIGHT(E369,13),1)={"A","D","E","F","G","I","L","N","P","R","S","T","V"})),"Ф",""),"")</f>
        <v/>
      </c>
    </row>
    <row r="370" spans="4:9" x14ac:dyDescent="0.3">
      <c r="D370" s="48" t="str">
        <f>CONCATENATE(УЧРЕЖДЕНИЯ!$A$12)</f>
        <v>спорт</v>
      </c>
      <c r="E370" s="99" t="s">
        <v>351</v>
      </c>
      <c r="F370" s="102">
        <v>343</v>
      </c>
      <c r="G370" s="102">
        <v>244</v>
      </c>
      <c r="H370" s="17" t="s">
        <v>197</v>
      </c>
      <c r="I370" s="100" t="str">
        <f>IF(OR(F370=152,F370=162,F370=510),IF((OR(LEFT(RIGHT(E370,13),1)={"A","D","E","F","G","I","L","N","P","R","S","T","V"})),"Ф",""),"")</f>
        <v/>
      </c>
    </row>
    <row r="371" spans="4:9" x14ac:dyDescent="0.3">
      <c r="D371" s="48" t="str">
        <f>CONCATENATE(УЧРЕЖДЕНИЯ!$A$12)</f>
        <v>спорт</v>
      </c>
      <c r="E371" s="99" t="s">
        <v>351</v>
      </c>
      <c r="F371" s="102">
        <v>344</v>
      </c>
      <c r="G371" s="102">
        <v>244</v>
      </c>
      <c r="H371" s="17" t="s">
        <v>197</v>
      </c>
      <c r="I371" s="100" t="str">
        <f>IF(OR(F371=152,F371=162,F371=510),IF((OR(LEFT(RIGHT(E371,13),1)={"A","D","E","F","G","I","L","N","P","R","S","T","V"})),"Ф",""),"")</f>
        <v/>
      </c>
    </row>
    <row r="372" spans="4:9" x14ac:dyDescent="0.3">
      <c r="D372" s="48" t="str">
        <f>CONCATENATE(УЧРЕЖДЕНИЯ!$A$12)</f>
        <v>спорт</v>
      </c>
      <c r="E372" s="99" t="s">
        <v>351</v>
      </c>
      <c r="F372" s="102">
        <v>345</v>
      </c>
      <c r="G372" s="102">
        <v>244</v>
      </c>
      <c r="H372" s="17" t="s">
        <v>197</v>
      </c>
      <c r="I372" s="100" t="str">
        <f>IF(OR(F372=152,F372=162,F372=510),IF((OR(LEFT(RIGHT(E372,13),1)={"A","D","E","F","G","I","L","N","P","R","S","T","V"})),"Ф",""),"")</f>
        <v/>
      </c>
    </row>
    <row r="373" spans="4:9" x14ac:dyDescent="0.3">
      <c r="D373" s="48" t="str">
        <f>CONCATENATE(УЧРЕЖДЕНИЯ!$A$12)</f>
        <v>спорт</v>
      </c>
      <c r="E373" s="99" t="s">
        <v>351</v>
      </c>
      <c r="F373" s="102">
        <v>346</v>
      </c>
      <c r="G373" s="102">
        <v>244</v>
      </c>
      <c r="H373" s="17" t="s">
        <v>197</v>
      </c>
      <c r="I373" s="100" t="str">
        <f>IF(OR(F373=152,F373=162,F373=510),IF((OR(LEFT(RIGHT(E373,13),1)={"A","D","E","F","G","I","L","N","P","R","S","T","V"})),"Ф",""),"")</f>
        <v/>
      </c>
    </row>
    <row r="374" spans="4:9" x14ac:dyDescent="0.3">
      <c r="D374" s="48" t="str">
        <f>CONCATENATE(УЧРЕЖДЕНИЯ!$A$12)</f>
        <v>спорт</v>
      </c>
      <c r="E374" s="99" t="s">
        <v>351</v>
      </c>
      <c r="F374" s="102">
        <v>349</v>
      </c>
      <c r="G374" s="102">
        <v>244</v>
      </c>
      <c r="H374" s="17" t="s">
        <v>197</v>
      </c>
      <c r="I374" s="100" t="str">
        <f>IF(OR(F374=152,F374=162,F374=510),IF((OR(LEFT(RIGHT(E374,13),1)={"A","D","E","F","G","I","L","N","P","R","S","T","V"})),"Ф",""),"")</f>
        <v/>
      </c>
    </row>
    <row r="375" spans="4:9" x14ac:dyDescent="0.3">
      <c r="D375" s="48" t="str">
        <f>CONCATENATE(УЧРЕЖДЕНИЯ!$A$12)</f>
        <v>спорт</v>
      </c>
      <c r="E375" s="99" t="s">
        <v>683</v>
      </c>
      <c r="F375" s="102">
        <v>2231</v>
      </c>
      <c r="G375" s="102">
        <v>247</v>
      </c>
      <c r="H375" s="17" t="s">
        <v>197</v>
      </c>
      <c r="I375" s="100" t="str">
        <f>IF(OR(F375=152,F375=162,F375=510),IF((OR(LEFT(RIGHT(E375,13),1)={"A","D","E","F","G","I","L","N","P","R","S","T","V"})),"Ф",""),"")</f>
        <v/>
      </c>
    </row>
    <row r="376" spans="4:9" x14ac:dyDescent="0.3">
      <c r="D376" s="48" t="str">
        <f>CONCATENATE(УЧРЕЖДЕНИЯ!$A$12)</f>
        <v>спорт</v>
      </c>
      <c r="E376" s="99" t="s">
        <v>695</v>
      </c>
      <c r="F376" s="102">
        <v>2232</v>
      </c>
      <c r="G376" s="102">
        <v>247</v>
      </c>
      <c r="H376" s="17" t="s">
        <v>197</v>
      </c>
      <c r="I376" s="100" t="str">
        <f>IF(OR(F376=152,F376=162,F376=510),IF((OR(LEFT(RIGHT(E376,13),1)={"A","D","E","F","G","I","L","N","P","R","S","T","V"})),"Ф",""),"")</f>
        <v/>
      </c>
    </row>
    <row r="377" spans="4:9" x14ac:dyDescent="0.3">
      <c r="D377" s="48" t="str">
        <f>CONCATENATE(УЧРЕЖДЕНИЯ!$A$12)</f>
        <v>спорт</v>
      </c>
      <c r="E377" s="99" t="s">
        <v>353</v>
      </c>
      <c r="F377" s="102">
        <v>262</v>
      </c>
      <c r="G377" s="102">
        <v>360</v>
      </c>
      <c r="H377" s="17" t="s">
        <v>197</v>
      </c>
      <c r="I377" s="100" t="str">
        <f>IF(OR(F377=152,F377=162,F377=510),IF((OR(LEFT(RIGHT(E377,13),1)={"A","D","E","F","G","I","L","N","P","R","S","T","V"})),"Ф",""),"")</f>
        <v/>
      </c>
    </row>
    <row r="378" spans="4:9" x14ac:dyDescent="0.3">
      <c r="D378" s="48" t="str">
        <f>CONCATENATE(УЧРЕЖДЕНИЯ!$A$12)</f>
        <v>спорт</v>
      </c>
      <c r="E378" s="99" t="s">
        <v>346</v>
      </c>
      <c r="F378" s="102">
        <v>510</v>
      </c>
      <c r="G378" s="102">
        <v>510</v>
      </c>
      <c r="H378" s="17" t="s">
        <v>197</v>
      </c>
      <c r="I378" s="100" t="str">
        <f>IF(OR(F378=152,F378=162,F378=510),IF((OR(LEFT(RIGHT(E378,13),1)={"A","D","E","F","G","I","L","N","P","R","S","T","V"})),"Ф",""),"")</f>
        <v/>
      </c>
    </row>
    <row r="379" spans="4:9" x14ac:dyDescent="0.3">
      <c r="D379" s="48" t="str">
        <f>CONCATENATE(УЧРЕЖДЕНИЯ!$A$12)</f>
        <v>спорт</v>
      </c>
      <c r="E379" s="99" t="s">
        <v>355</v>
      </c>
      <c r="F379" s="102">
        <v>291</v>
      </c>
      <c r="G379" s="102">
        <v>852</v>
      </c>
      <c r="H379" s="17" t="s">
        <v>197</v>
      </c>
      <c r="I379" s="100" t="str">
        <f>IF(OR(F379=152,F379=162,F379=510),IF((OR(LEFT(RIGHT(E379,13),1)={"A","D","E","F","G","I","L","N","P","R","S","T","V"})),"Ф",""),"")</f>
        <v/>
      </c>
    </row>
    <row r="380" spans="4:9" x14ac:dyDescent="0.3">
      <c r="D380" s="48" t="str">
        <f>CONCATENATE(УЧРЕЖДЕНИЯ!$A$12)</f>
        <v>спорт</v>
      </c>
      <c r="E380" s="99" t="s">
        <v>356</v>
      </c>
      <c r="F380" s="102">
        <v>292</v>
      </c>
      <c r="G380" s="102">
        <v>853</v>
      </c>
      <c r="H380" s="17" t="s">
        <v>197</v>
      </c>
      <c r="I380" s="100" t="str">
        <f>IF(OR(F380=152,F380=162,F380=510),IF((OR(LEFT(RIGHT(E380,13),1)={"A","D","E","F","G","I","L","N","P","R","S","T","V"})),"Ф",""),"")</f>
        <v/>
      </c>
    </row>
    <row r="381" spans="4:9" x14ac:dyDescent="0.3">
      <c r="D381" s="48" t="str">
        <f>CONCATENATE(УЧРЕЖДЕНИЯ!$A$12)</f>
        <v>спорт</v>
      </c>
      <c r="E381" s="99" t="s">
        <v>336</v>
      </c>
      <c r="F381" s="102">
        <v>135</v>
      </c>
      <c r="G381" s="102">
        <v>130</v>
      </c>
      <c r="H381" s="17" t="s">
        <v>197</v>
      </c>
      <c r="I381" s="100" t="str">
        <f>IF(OR(F381=152,F381=162,F381=510),IF((OR(LEFT(RIGHT(E381,13),1)={"A","D","E","F","G","I","L","N","P","R","S","T","V"})),"Ф",""),"")</f>
        <v/>
      </c>
    </row>
    <row r="382" spans="4:9" x14ac:dyDescent="0.3">
      <c r="D382" s="48" t="str">
        <f>CONCATENATE(УЧРЕЖДЕНИЯ!$A$12)</f>
        <v>спорт</v>
      </c>
      <c r="E382" s="99" t="s">
        <v>685</v>
      </c>
      <c r="F382" s="102">
        <v>2231</v>
      </c>
      <c r="G382" s="102">
        <v>247</v>
      </c>
      <c r="H382" s="17" t="s">
        <v>197</v>
      </c>
      <c r="I382" s="100" t="str">
        <f>IF(OR(F382=152,F382=162,F382=510),IF((OR(LEFT(RIGHT(E382,13),1)={"A","D","E","F","G","I","L","N","P","R","S","T","V"})),"Ф",""),"")</f>
        <v/>
      </c>
    </row>
    <row r="383" spans="4:9" x14ac:dyDescent="0.3">
      <c r="D383" s="48" t="str">
        <f>CONCATENATE(УЧРЕЖДЕНИЯ!$A$12)</f>
        <v>спорт</v>
      </c>
      <c r="E383" s="99" t="s">
        <v>360</v>
      </c>
      <c r="F383" s="102">
        <v>510</v>
      </c>
      <c r="G383" s="102">
        <v>510</v>
      </c>
      <c r="H383" s="17" t="s">
        <v>197</v>
      </c>
      <c r="I383" s="100" t="str">
        <f>IF(OR(F383=152,F383=162,F383=510),IF((OR(LEFT(RIGHT(E383,13),1)={"A","D","E","F","G","I","L","N","P","R","S","T","V"})),"Ф",""),"")</f>
        <v/>
      </c>
    </row>
    <row r="384" spans="4:9" x14ac:dyDescent="0.3">
      <c r="D384" s="48" t="str">
        <f>CONCATENATE(УЧРЕЖДЕНИЯ!$A$12)</f>
        <v>спорт</v>
      </c>
      <c r="E384" s="99" t="s">
        <v>361</v>
      </c>
      <c r="F384" s="102">
        <v>6101</v>
      </c>
      <c r="G384" s="102">
        <v>610</v>
      </c>
      <c r="H384" s="17" t="s">
        <v>197</v>
      </c>
      <c r="I384" s="100" t="str">
        <f>IF(OR(F384=152,F384=162,F384=510),IF((OR(LEFT(RIGHT(E384,13),1)={"A","D","E","F","G","I","L","N","P","R","S","T","V"})),"Ф",""),"")</f>
        <v/>
      </c>
    </row>
    <row r="385" spans="1:9" x14ac:dyDescent="0.3">
      <c r="D385" s="48" t="str">
        <f>CONCATENATE(УЧРЕЖДЕНИЯ!$A$12)</f>
        <v>спорт</v>
      </c>
      <c r="E385" s="99" t="s">
        <v>363</v>
      </c>
      <c r="F385" s="102">
        <v>155</v>
      </c>
      <c r="G385" s="102">
        <v>150</v>
      </c>
      <c r="H385" s="17" t="s">
        <v>197</v>
      </c>
      <c r="I385" s="100" t="str">
        <f>IF(OR(F385=152,F385=162,F385=510),IF((OR(LEFT(RIGHT(E385,13),1)={"A","D","E","F","G","I","L","N","P","R","S","T","V"})),"Ф",""),"")</f>
        <v/>
      </c>
    </row>
    <row r="386" spans="1:9" x14ac:dyDescent="0.3">
      <c r="D386" s="48" t="str">
        <f>CONCATENATE(УЧРЕЖДЕНИЯ!$A$12)</f>
        <v>спорт</v>
      </c>
      <c r="E386" s="99" t="s">
        <v>364</v>
      </c>
      <c r="F386" s="100">
        <v>225</v>
      </c>
      <c r="G386" s="100">
        <v>244</v>
      </c>
      <c r="H386" s="17" t="s">
        <v>197</v>
      </c>
      <c r="I386" s="100" t="str">
        <f>IF(OR(F386=152,F386=162,F386=510),IF((OR(LEFT(RIGHT(E386,13),1)={"A","D","E","F","G","I","L","N","P","R","S","T","V"})),"Ф",""),"")</f>
        <v/>
      </c>
    </row>
    <row r="387" spans="1:9" x14ac:dyDescent="0.3">
      <c r="D387" s="48" t="str">
        <f>CONCATENATE(УЧРЕЖДЕНИЯ!$A$12)</f>
        <v>спорт</v>
      </c>
      <c r="E387" s="99" t="s">
        <v>364</v>
      </c>
      <c r="F387" s="100">
        <v>226</v>
      </c>
      <c r="G387" s="100">
        <v>244</v>
      </c>
      <c r="H387" s="17" t="s">
        <v>197</v>
      </c>
      <c r="I387" s="100" t="str">
        <f>IF(OR(F387=152,F387=162,F387=510),IF((OR(LEFT(RIGHT(E387,13),1)={"A","D","E","F","G","I","L","N","P","R","S","T","V"})),"Ф",""),"")</f>
        <v/>
      </c>
    </row>
    <row r="388" spans="1:9" x14ac:dyDescent="0.3">
      <c r="D388" s="48" t="str">
        <f>CONCATENATE(УЧРЕЖДЕНИЯ!$A$12)</f>
        <v>спорт</v>
      </c>
      <c r="E388" s="99" t="s">
        <v>364</v>
      </c>
      <c r="F388" s="100">
        <v>310</v>
      </c>
      <c r="G388" s="100">
        <v>244</v>
      </c>
      <c r="H388" s="17" t="s">
        <v>197</v>
      </c>
      <c r="I388" s="100" t="str">
        <f>IF(OR(F388=152,F388=162,F388=510),IF((OR(LEFT(RIGHT(E388,13),1)={"A","D","E","F","G","I","L","N","P","R","S","T","V"})),"Ф",""),"")</f>
        <v/>
      </c>
    </row>
    <row r="389" spans="1:9" x14ac:dyDescent="0.3">
      <c r="D389" s="48" t="str">
        <f>CONCATENATE(УЧРЕЖДЕНИЯ!$A$12)</f>
        <v>спорт</v>
      </c>
      <c r="E389" s="99" t="s">
        <v>362</v>
      </c>
      <c r="F389" s="102">
        <v>510</v>
      </c>
      <c r="G389" s="102">
        <v>510</v>
      </c>
      <c r="H389" s="17" t="s">
        <v>197</v>
      </c>
      <c r="I389" s="100" t="str">
        <f>IF(OR(F389=152,F389=162,F389=510),IF((OR(LEFT(RIGHT(E389,13),1)={"A","D","E","F","G","I","L","N","P","R","S","T","V"})),"Ф",""),"")</f>
        <v/>
      </c>
    </row>
    <row r="390" spans="1:9" x14ac:dyDescent="0.3">
      <c r="A390" s="48">
        <f>ROW()</f>
        <v>390</v>
      </c>
      <c r="B390" s="48" t="s">
        <v>739</v>
      </c>
      <c r="C390" s="48" t="s">
        <v>736</v>
      </c>
      <c r="D390" s="48" t="str">
        <f>CONCATENATE(УЧРЕЖДЕНИЯ!$A$3)</f>
        <v>Детсад</v>
      </c>
      <c r="E390" s="99" t="s">
        <v>371</v>
      </c>
      <c r="F390" s="100">
        <v>131</v>
      </c>
      <c r="G390" s="100">
        <v>130</v>
      </c>
      <c r="H390" s="17" t="s">
        <v>190</v>
      </c>
      <c r="I390" s="100" t="str">
        <f>IF(OR(F390=152,F390=162,F390=510),IF((OR(LEFT(RIGHT(E390,13),1)={"A","D","E","F","G","I","L","N","P","R","S","T","V"})),"Ф",""),"")</f>
        <v/>
      </c>
    </row>
    <row r="391" spans="1:9" x14ac:dyDescent="0.3">
      <c r="D391" s="48" t="str">
        <f>CONCATENATE(УЧРЕЖДЕНИЯ!$A$3)</f>
        <v>Детсад</v>
      </c>
      <c r="E391" s="99" t="s">
        <v>372</v>
      </c>
      <c r="F391" s="100">
        <v>211</v>
      </c>
      <c r="G391" s="100">
        <v>111</v>
      </c>
      <c r="H391" s="17" t="s">
        <v>190</v>
      </c>
      <c r="I391" s="100" t="str">
        <f>IF(OR(F391=152,F391=162,F391=510),IF((OR(LEFT(RIGHT(E391,13),1)={"A","D","E","F","G","I","L","N","P","R","S","T","V"})),"Ф",""),"")</f>
        <v/>
      </c>
    </row>
    <row r="392" spans="1:9" x14ac:dyDescent="0.3">
      <c r="D392" s="48" t="str">
        <f>CONCATENATE(УЧРЕЖДЕНИЯ!$A$3)</f>
        <v>Детсад</v>
      </c>
      <c r="E392" s="99" t="s">
        <v>372</v>
      </c>
      <c r="F392" s="100">
        <v>266</v>
      </c>
      <c r="G392" s="100">
        <v>111</v>
      </c>
      <c r="H392" s="17" t="s">
        <v>190</v>
      </c>
      <c r="I392" s="100" t="str">
        <f>IF(OR(F392=152,F392=162,F392=510),IF((OR(LEFT(RIGHT(E392,13),1)={"A","D","E","F","G","I","L","N","P","R","S","T","V"})),"Ф",""),"")</f>
        <v/>
      </c>
    </row>
    <row r="393" spans="1:9" x14ac:dyDescent="0.3">
      <c r="D393" s="48" t="str">
        <f>CONCATENATE(УЧРЕЖДЕНИЯ!$A$3)</f>
        <v>Детсад</v>
      </c>
      <c r="E393" s="99" t="s">
        <v>373</v>
      </c>
      <c r="F393" s="100">
        <v>212</v>
      </c>
      <c r="G393" s="100">
        <v>112</v>
      </c>
      <c r="H393" s="17" t="s">
        <v>190</v>
      </c>
      <c r="I393" s="100" t="str">
        <f>IF(OR(F393=152,F393=162,F393=510),IF((OR(LEFT(RIGHT(E393,13),1)={"A","D","E","F","G","I","L","N","P","R","S","T","V"})),"Ф",""),"")</f>
        <v/>
      </c>
    </row>
    <row r="394" spans="1:9" x14ac:dyDescent="0.3">
      <c r="D394" s="48" t="str">
        <f>CONCATENATE(УЧРЕЖДЕНИЯ!$A$3)</f>
        <v>Детсад</v>
      </c>
      <c r="E394" s="99" t="s">
        <v>373</v>
      </c>
      <c r="F394" s="100">
        <v>226</v>
      </c>
      <c r="G394" s="100">
        <v>112</v>
      </c>
      <c r="H394" s="17" t="s">
        <v>190</v>
      </c>
      <c r="I394" s="100" t="str">
        <f>IF(OR(F394=152,F394=162,F394=510),IF((OR(LEFT(RIGHT(E394,13),1)={"A","D","E","F","G","I","L","N","P","R","S","T","V"})),"Ф",""),"")</f>
        <v/>
      </c>
    </row>
    <row r="395" spans="1:9" x14ac:dyDescent="0.3">
      <c r="D395" s="48" t="str">
        <f>CONCATENATE(УЧРЕЖДЕНИЯ!$A$3)</f>
        <v>Детсад</v>
      </c>
      <c r="E395" s="99" t="s">
        <v>373</v>
      </c>
      <c r="F395" s="100">
        <v>262</v>
      </c>
      <c r="G395" s="100">
        <v>112</v>
      </c>
      <c r="H395" s="17" t="s">
        <v>190</v>
      </c>
      <c r="I395" s="100" t="str">
        <f>IF(OR(F395=152,F395=162,F395=510),IF((OR(LEFT(RIGHT(E395,13),1)={"A","D","E","F","G","I","L","N","P","R","S","T","V"})),"Ф",""),"")</f>
        <v/>
      </c>
    </row>
    <row r="396" spans="1:9" x14ac:dyDescent="0.3">
      <c r="D396" s="48" t="str">
        <f>CONCATENATE(УЧРЕЖДЕНИЯ!$A$3)</f>
        <v>Детсад</v>
      </c>
      <c r="E396" s="99" t="s">
        <v>373</v>
      </c>
      <c r="F396" s="100">
        <v>266</v>
      </c>
      <c r="G396" s="100">
        <v>112</v>
      </c>
      <c r="H396" s="17" t="s">
        <v>190</v>
      </c>
      <c r="I396" s="100" t="str">
        <f>IF(OR(F396=152,F396=162,F396=510),IF((OR(LEFT(RIGHT(E396,13),1)={"A","D","E","F","G","I","L","N","P","R","S","T","V"})),"Ф",""),"")</f>
        <v/>
      </c>
    </row>
    <row r="397" spans="1:9" x14ac:dyDescent="0.3">
      <c r="D397" s="48" t="str">
        <f>CONCATENATE(УЧРЕЖДЕНИЯ!$A$3)</f>
        <v>Детсад</v>
      </c>
      <c r="E397" s="99" t="s">
        <v>373</v>
      </c>
      <c r="F397" s="100">
        <v>267</v>
      </c>
      <c r="G397" s="100">
        <v>112</v>
      </c>
      <c r="H397" s="17" t="s">
        <v>190</v>
      </c>
      <c r="I397" s="100" t="str">
        <f>IF(OR(F397=152,F397=162,F397=510),IF((OR(LEFT(RIGHT(E397,13),1)={"A","D","E","F","G","I","L","N","P","R","S","T","V"})),"Ф",""),"")</f>
        <v/>
      </c>
    </row>
    <row r="398" spans="1:9" x14ac:dyDescent="0.3">
      <c r="D398" s="48" t="str">
        <f>CONCATENATE(УЧРЕЖДЕНИЯ!$A$3)</f>
        <v>Детсад</v>
      </c>
      <c r="E398" s="99" t="s">
        <v>374</v>
      </c>
      <c r="F398" s="100">
        <v>296</v>
      </c>
      <c r="G398" s="100">
        <v>113</v>
      </c>
      <c r="H398" s="17" t="s">
        <v>190</v>
      </c>
      <c r="I398" s="100" t="str">
        <f>IF(OR(F398=152,F398=162,F398=510),IF((OR(LEFT(RIGHT(E398,13),1)={"A","D","E","F","G","I","L","N","P","R","S","T","V"})),"Ф",""),"")</f>
        <v/>
      </c>
    </row>
    <row r="399" spans="1:9" x14ac:dyDescent="0.3">
      <c r="D399" s="48" t="str">
        <f>CONCATENATE(УЧРЕЖДЕНИЯ!$A$3)</f>
        <v>Детсад</v>
      </c>
      <c r="E399" s="99" t="s">
        <v>375</v>
      </c>
      <c r="F399" s="100">
        <v>213</v>
      </c>
      <c r="G399" s="100">
        <v>119</v>
      </c>
      <c r="H399" s="17" t="s">
        <v>190</v>
      </c>
      <c r="I399" s="100" t="str">
        <f>IF(OR(F399=152,F399=162,F399=510),IF((OR(LEFT(RIGHT(E399,13),1)={"A","D","E","F","G","I","L","N","P","R","S","T","V"})),"Ф",""),"")</f>
        <v/>
      </c>
    </row>
    <row r="400" spans="1:9" x14ac:dyDescent="0.3">
      <c r="D400" s="48" t="str">
        <f>CONCATENATE(УЧРЕЖДЕНИЯ!$A$3)</f>
        <v>Детсад</v>
      </c>
      <c r="E400" s="99" t="s">
        <v>580</v>
      </c>
      <c r="F400" s="100">
        <v>225</v>
      </c>
      <c r="G400" s="100">
        <v>243</v>
      </c>
      <c r="H400" s="17" t="s">
        <v>190</v>
      </c>
      <c r="I400" s="100" t="str">
        <f>IF(OR(F400=152,F400=162,F400=510),IF((OR(LEFT(RIGHT(E400,13),1)={"A","D","E","F","G","I","L","N","P","R","S","T","V"})),"Ф",""),"")</f>
        <v/>
      </c>
    </row>
    <row r="401" spans="4:9" x14ac:dyDescent="0.3">
      <c r="D401" s="48" t="str">
        <f>CONCATENATE(УЧРЕЖДЕНИЯ!$A$3)</f>
        <v>Детсад</v>
      </c>
      <c r="E401" s="99" t="s">
        <v>580</v>
      </c>
      <c r="F401" s="100">
        <v>226</v>
      </c>
      <c r="G401" s="100">
        <v>243</v>
      </c>
      <c r="H401" s="17" t="s">
        <v>190</v>
      </c>
      <c r="I401" s="100" t="str">
        <f>IF(OR(F401=152,F401=162,F401=510),IF((OR(LEFT(RIGHT(E401,13),1)={"A","D","E","F","G","I","L","N","P","R","S","T","V"})),"Ф",""),"")</f>
        <v/>
      </c>
    </row>
    <row r="402" spans="4:9" x14ac:dyDescent="0.3">
      <c r="D402" s="48" t="str">
        <f>CONCATENATE(УЧРЕЖДЕНИЯ!$A$3)</f>
        <v>Детсад</v>
      </c>
      <c r="E402" s="99" t="s">
        <v>376</v>
      </c>
      <c r="F402" s="100">
        <v>221</v>
      </c>
      <c r="G402" s="100">
        <v>244</v>
      </c>
      <c r="H402" s="17" t="s">
        <v>190</v>
      </c>
      <c r="I402" s="100" t="str">
        <f>IF(OR(F402=152,F402=162,F402=510),IF((OR(LEFT(RIGHT(E402,13),1)={"A","D","E","F","G","I","L","N","P","R","S","T","V"})),"Ф",""),"")</f>
        <v/>
      </c>
    </row>
    <row r="403" spans="4:9" x14ac:dyDescent="0.3">
      <c r="D403" s="48" t="str">
        <f>CONCATENATE(УЧРЕЖДЕНИЯ!$A$3)</f>
        <v>Детсад</v>
      </c>
      <c r="E403" s="99" t="s">
        <v>376</v>
      </c>
      <c r="F403" s="100">
        <v>222</v>
      </c>
      <c r="G403" s="100">
        <v>244</v>
      </c>
      <c r="H403" s="17" t="s">
        <v>190</v>
      </c>
      <c r="I403" s="100" t="str">
        <f>IF(OR(F403=152,F403=162,F403=510),IF((OR(LEFT(RIGHT(E403,13),1)={"A","D","E","F","G","I","L","N","P","R","S","T","V"})),"Ф",""),"")</f>
        <v/>
      </c>
    </row>
    <row r="404" spans="4:9" x14ac:dyDescent="0.3">
      <c r="D404" s="48" t="str">
        <f>CONCATENATE(УЧРЕЖДЕНИЯ!$A$3)</f>
        <v>Детсад</v>
      </c>
      <c r="E404" s="99" t="s">
        <v>840</v>
      </c>
      <c r="F404" s="100">
        <v>2232</v>
      </c>
      <c r="G404" s="100">
        <v>244</v>
      </c>
      <c r="H404" s="17" t="s">
        <v>190</v>
      </c>
      <c r="I404" s="100" t="str">
        <f>IF(OR(F404=152,F404=162,F404=510),IF((OR(LEFT(RIGHT(E404,13),1)={"A","D","E","F","G","I","L","N","P","R","S","T","V"})),"Ф",""),"")</f>
        <v/>
      </c>
    </row>
    <row r="405" spans="4:9" x14ac:dyDescent="0.3">
      <c r="D405" s="48" t="str">
        <f>CONCATENATE(УЧРЕЖДЕНИЯ!$A$3)</f>
        <v>Детсад</v>
      </c>
      <c r="E405" s="99" t="s">
        <v>377</v>
      </c>
      <c r="F405" s="100">
        <v>2233</v>
      </c>
      <c r="G405" s="100">
        <v>244</v>
      </c>
      <c r="H405" s="17" t="s">
        <v>190</v>
      </c>
      <c r="I405" s="100" t="str">
        <f>IF(OR(F405=152,F405=162,F405=510),IF((OR(LEFT(RIGHT(E405,13),1)={"A","D","E","F","G","I","L","N","P","R","S","T","V"})),"Ф",""),"")</f>
        <v/>
      </c>
    </row>
    <row r="406" spans="4:9" x14ac:dyDescent="0.3">
      <c r="D406" s="48" t="str">
        <f>CONCATENATE(УЧРЕЖДЕНИЯ!$A$3)</f>
        <v>Детсад</v>
      </c>
      <c r="E406" s="99" t="s">
        <v>667</v>
      </c>
      <c r="F406" s="100">
        <v>2234</v>
      </c>
      <c r="G406" s="100">
        <v>244</v>
      </c>
      <c r="H406" s="17" t="s">
        <v>190</v>
      </c>
      <c r="I406" s="100" t="str">
        <f>IF(OR(F406=152,F406=162,F406=510),IF((OR(LEFT(RIGHT(E406,13),1)={"A","D","E","F","G","I","L","N","P","R","S","T","V"})),"Ф",""),"")</f>
        <v/>
      </c>
    </row>
    <row r="407" spans="4:9" x14ac:dyDescent="0.3">
      <c r="D407" s="48" t="str">
        <f>CONCATENATE(УЧРЕЖДЕНИЯ!$A$3)</f>
        <v>Детсад</v>
      </c>
      <c r="E407" s="99" t="s">
        <v>376</v>
      </c>
      <c r="F407" s="100">
        <v>225</v>
      </c>
      <c r="G407" s="100">
        <v>244</v>
      </c>
      <c r="H407" s="17" t="s">
        <v>190</v>
      </c>
      <c r="I407" s="100" t="str">
        <f>IF(OR(F407=152,F407=162,F407=510),IF((OR(LEFT(RIGHT(E407,13),1)={"A","D","E","F","G","I","L","N","P","R","S","T","V"})),"Ф",""),"")</f>
        <v/>
      </c>
    </row>
    <row r="408" spans="4:9" x14ac:dyDescent="0.3">
      <c r="D408" s="48" t="str">
        <f>CONCATENATE(УЧРЕЖДЕНИЯ!$A$3)</f>
        <v>Детсад</v>
      </c>
      <c r="E408" s="99" t="s">
        <v>376</v>
      </c>
      <c r="F408" s="100">
        <v>226</v>
      </c>
      <c r="G408" s="100">
        <v>244</v>
      </c>
      <c r="H408" s="17" t="s">
        <v>190</v>
      </c>
      <c r="I408" s="100" t="str">
        <f>IF(OR(F408=152,F408=162,F408=510),IF((OR(LEFT(RIGHT(E408,13),1)={"A","D","E","F","G","I","L","N","P","R","S","T","V"})),"Ф",""),"")</f>
        <v/>
      </c>
    </row>
    <row r="409" spans="4:9" x14ac:dyDescent="0.3">
      <c r="D409" s="48" t="str">
        <f>CONCATENATE(УЧРЕЖДЕНИЯ!$A$3)</f>
        <v>Детсад</v>
      </c>
      <c r="E409" s="99" t="s">
        <v>376</v>
      </c>
      <c r="F409" s="100">
        <v>228</v>
      </c>
      <c r="G409" s="100">
        <v>244</v>
      </c>
      <c r="H409" s="17" t="s">
        <v>190</v>
      </c>
      <c r="I409" s="100" t="str">
        <f>IF(OR(F409=152,F409=162,F409=510),IF((OR(LEFT(RIGHT(E409,13),1)={"A","D","E","F","G","I","L","N","P","R","S","T","V"})),"Ф",""),"")</f>
        <v/>
      </c>
    </row>
    <row r="410" spans="4:9" x14ac:dyDescent="0.3">
      <c r="D410" s="48" t="str">
        <f>CONCATENATE(УЧРЕЖДЕНИЯ!$A$3)</f>
        <v>Детсад</v>
      </c>
      <c r="E410" s="99" t="s">
        <v>376</v>
      </c>
      <c r="F410" s="100">
        <v>296</v>
      </c>
      <c r="G410" s="100">
        <v>244</v>
      </c>
      <c r="H410" s="17" t="s">
        <v>190</v>
      </c>
      <c r="I410" s="100" t="str">
        <f>IF(OR(F410=152,F410=162,F410=510),IF((OR(LEFT(RIGHT(E410,13),1)={"A","D","E","F","G","I","L","N","P","R","S","T","V"})),"Ф",""),"")</f>
        <v/>
      </c>
    </row>
    <row r="411" spans="4:9" x14ac:dyDescent="0.3">
      <c r="D411" s="48" t="str">
        <f>CONCATENATE(УЧРЕЖДЕНИЯ!$A$3)</f>
        <v>Детсад</v>
      </c>
      <c r="E411" s="99" t="s">
        <v>376</v>
      </c>
      <c r="F411" s="100">
        <v>310</v>
      </c>
      <c r="G411" s="100">
        <v>244</v>
      </c>
      <c r="H411" s="17" t="s">
        <v>190</v>
      </c>
      <c r="I411" s="100" t="str">
        <f>IF(OR(F411=152,F411=162,F411=510),IF((OR(LEFT(RIGHT(E411,13),1)={"A","D","E","F","G","I","L","N","P","R","S","T","V"})),"Ф",""),"")</f>
        <v/>
      </c>
    </row>
    <row r="412" spans="4:9" x14ac:dyDescent="0.3">
      <c r="D412" s="48" t="str">
        <f>CONCATENATE(УЧРЕЖДЕНИЯ!$A$3)</f>
        <v>Детсад</v>
      </c>
      <c r="E412" s="99" t="s">
        <v>376</v>
      </c>
      <c r="F412" s="100">
        <v>341</v>
      </c>
      <c r="G412" s="100">
        <v>244</v>
      </c>
      <c r="H412" s="17" t="s">
        <v>190</v>
      </c>
      <c r="I412" s="100" t="str">
        <f>IF(OR(F412=152,F412=162,F412=510),IF((OR(LEFT(RIGHT(E412,13),1)={"A","D","E","F","G","I","L","N","P","R","S","T","V"})),"Ф",""),"")</f>
        <v/>
      </c>
    </row>
    <row r="413" spans="4:9" x14ac:dyDescent="0.3">
      <c r="D413" s="48" t="str">
        <f>CONCATENATE(УЧРЕЖДЕНИЯ!$A$3)</f>
        <v>Детсад</v>
      </c>
      <c r="E413" s="99" t="s">
        <v>376</v>
      </c>
      <c r="F413" s="100">
        <v>342</v>
      </c>
      <c r="G413" s="100">
        <v>244</v>
      </c>
      <c r="H413" s="17" t="s">
        <v>190</v>
      </c>
      <c r="I413" s="100" t="str">
        <f>IF(OR(F413=152,F413=162,F413=510),IF((OR(LEFT(RIGHT(E413,13),1)={"A","D","E","F","G","I","L","N","P","R","S","T","V"})),"Ф",""),"")</f>
        <v/>
      </c>
    </row>
    <row r="414" spans="4:9" x14ac:dyDescent="0.3">
      <c r="D414" s="48" t="str">
        <f>CONCATENATE(УЧРЕЖДЕНИЯ!$A$3)</f>
        <v>Детсад</v>
      </c>
      <c r="E414" s="99" t="s">
        <v>376</v>
      </c>
      <c r="F414" s="100">
        <v>343</v>
      </c>
      <c r="G414" s="100">
        <v>244</v>
      </c>
      <c r="H414" s="17" t="s">
        <v>190</v>
      </c>
      <c r="I414" s="100" t="str">
        <f>IF(OR(F414=152,F414=162,F414=510),IF((OR(LEFT(RIGHT(E414,13),1)={"A","D","E","F","G","I","L","N","P","R","S","T","V"})),"Ф",""),"")</f>
        <v/>
      </c>
    </row>
    <row r="415" spans="4:9" x14ac:dyDescent="0.3">
      <c r="D415" s="48" t="str">
        <f>CONCATENATE(УЧРЕЖДЕНИЯ!$A$3)</f>
        <v>Детсад</v>
      </c>
      <c r="E415" s="99" t="s">
        <v>376</v>
      </c>
      <c r="F415" s="100">
        <v>344</v>
      </c>
      <c r="G415" s="100">
        <v>244</v>
      </c>
      <c r="H415" s="17" t="s">
        <v>190</v>
      </c>
      <c r="I415" s="100" t="str">
        <f>IF(OR(F415=152,F415=162,F415=510),IF((OR(LEFT(RIGHT(E415,13),1)={"A","D","E","F","G","I","L","N","P","R","S","T","V"})),"Ф",""),"")</f>
        <v/>
      </c>
    </row>
    <row r="416" spans="4:9" x14ac:dyDescent="0.3">
      <c r="D416" s="48" t="str">
        <f>CONCATENATE(УЧРЕЖДЕНИЯ!$A$3)</f>
        <v>Детсад</v>
      </c>
      <c r="E416" s="99" t="s">
        <v>376</v>
      </c>
      <c r="F416" s="100">
        <v>345</v>
      </c>
      <c r="G416" s="100">
        <v>244</v>
      </c>
      <c r="H416" s="17" t="s">
        <v>190</v>
      </c>
      <c r="I416" s="100" t="str">
        <f>IF(OR(F416=152,F416=162,F416=510),IF((OR(LEFT(RIGHT(E416,13),1)={"A","D","E","F","G","I","L","N","P","R","S","T","V"})),"Ф",""),"")</f>
        <v/>
      </c>
    </row>
    <row r="417" spans="4:9" x14ac:dyDescent="0.3">
      <c r="D417" s="48" t="str">
        <f>CONCATENATE(УЧРЕЖДЕНИЯ!$A$3)</f>
        <v>Детсад</v>
      </c>
      <c r="E417" s="99" t="s">
        <v>376</v>
      </c>
      <c r="F417" s="100">
        <v>346</v>
      </c>
      <c r="G417" s="100">
        <v>244</v>
      </c>
      <c r="H417" s="17" t="s">
        <v>190</v>
      </c>
      <c r="I417" s="100" t="str">
        <f>IF(OR(F417=152,F417=162,F417=510),IF((OR(LEFT(RIGHT(E417,13),1)={"A","D","E","F","G","I","L","N","P","R","S","T","V"})),"Ф",""),"")</f>
        <v/>
      </c>
    </row>
    <row r="418" spans="4:9" x14ac:dyDescent="0.3">
      <c r="D418" s="48" t="str">
        <f>CONCATENATE(УЧРЕЖДЕНИЯ!$A$3)</f>
        <v>Детсад</v>
      </c>
      <c r="E418" s="99" t="s">
        <v>376</v>
      </c>
      <c r="F418" s="100">
        <v>349</v>
      </c>
      <c r="G418" s="100">
        <v>244</v>
      </c>
      <c r="H418" s="17" t="s">
        <v>190</v>
      </c>
      <c r="I418" s="100" t="str">
        <f>IF(OR(F418=152,F418=162,F418=510),IF((OR(LEFT(RIGHT(E418,13),1)={"A","D","E","F","G","I","L","N","P","R","S","T","V"})),"Ф",""),"")</f>
        <v/>
      </c>
    </row>
    <row r="419" spans="4:9" x14ac:dyDescent="0.3">
      <c r="D419" s="48" t="str">
        <f>CONCATENATE(УЧРЕЖДЕНИЯ!$A$3)</f>
        <v>Детсад</v>
      </c>
      <c r="E419" s="99" t="s">
        <v>686</v>
      </c>
      <c r="F419" s="100">
        <v>2231</v>
      </c>
      <c r="G419" s="100">
        <v>247</v>
      </c>
      <c r="H419" s="17" t="s">
        <v>190</v>
      </c>
      <c r="I419" s="100" t="str">
        <f>IF(OR(F419=152,F419=162,F419=510),IF((OR(LEFT(RIGHT(E419,13),1)={"A","D","E","F","G","I","L","N","P","R","S","T","V"})),"Ф",""),"")</f>
        <v/>
      </c>
    </row>
    <row r="420" spans="4:9" x14ac:dyDescent="0.3">
      <c r="D420" s="48" t="str">
        <f>CONCATENATE(УЧРЕЖДЕНИЯ!$A$3)</f>
        <v>Детсад</v>
      </c>
      <c r="E420" s="99" t="s">
        <v>697</v>
      </c>
      <c r="F420" s="100">
        <v>2232</v>
      </c>
      <c r="G420" s="100">
        <v>247</v>
      </c>
      <c r="H420" s="17" t="s">
        <v>190</v>
      </c>
      <c r="I420" s="100" t="str">
        <f>IF(OR(F420=152,F420=162,F420=510),IF((OR(LEFT(RIGHT(E420,13),1)={"A","D","E","F","G","I","L","N","P","R","S","T","V"})),"Ф",""),"")</f>
        <v/>
      </c>
    </row>
    <row r="421" spans="4:9" x14ac:dyDescent="0.3">
      <c r="D421" s="48" t="str">
        <f>CONCATENATE(УЧРЕЖДЕНИЯ!$A$3)</f>
        <v>Детсад</v>
      </c>
      <c r="E421" s="99" t="s">
        <v>376</v>
      </c>
      <c r="F421" s="100">
        <v>263</v>
      </c>
      <c r="G421" s="100">
        <v>321</v>
      </c>
      <c r="H421" s="17" t="s">
        <v>190</v>
      </c>
      <c r="I421" s="100" t="str">
        <f>IF(OR(F421=152,F421=162,F421=510),IF((OR(LEFT(RIGHT(E421,13),1)={"A","D","E","F","G","I","L","N","P","R","S","T","V"})),"Ф",""),"")</f>
        <v/>
      </c>
    </row>
    <row r="422" spans="4:9" x14ac:dyDescent="0.3">
      <c r="D422" s="48" t="str">
        <f>CONCATENATE(УЧРЕЖДЕНИЯ!$A$3)</f>
        <v>Детсад</v>
      </c>
      <c r="E422" s="99" t="s">
        <v>370</v>
      </c>
      <c r="F422" s="100">
        <v>510</v>
      </c>
      <c r="G422" s="100">
        <v>510</v>
      </c>
      <c r="H422" s="17" t="s">
        <v>190</v>
      </c>
      <c r="I422" s="100" t="str">
        <f>IF(OR(F422=152,F422=162,F422=510),IF((OR(LEFT(RIGHT(E422,13),1)={"A","D","E","F","G","I","L","N","P","R","S","T","V"})),"Ф",""),"")</f>
        <v/>
      </c>
    </row>
    <row r="423" spans="4:9" x14ac:dyDescent="0.3">
      <c r="D423" s="48" t="str">
        <f>CONCATENATE(УЧРЕЖДЕНИЯ!$A$3)</f>
        <v>Детсад</v>
      </c>
      <c r="E423" s="99" t="s">
        <v>841</v>
      </c>
      <c r="F423" s="100">
        <v>610</v>
      </c>
      <c r="G423" s="100">
        <v>610</v>
      </c>
      <c r="H423" s="17" t="s">
        <v>190</v>
      </c>
      <c r="I423" s="100" t="str">
        <f>IF(OR(F423=152,F423=162,F423=510),IF((OR(LEFT(RIGHT(E423,13),1)={"A","D","E","F","G","I","L","N","P","R","S","T","V"})),"Ф",""),"")</f>
        <v/>
      </c>
    </row>
    <row r="424" spans="4:9" x14ac:dyDescent="0.3">
      <c r="D424" s="48" t="str">
        <f>CONCATENATE(УЧРЕЖДЕНИЯ!$A$3)</f>
        <v>Детсад</v>
      </c>
      <c r="E424" s="99" t="s">
        <v>378</v>
      </c>
      <c r="F424" s="100">
        <v>293</v>
      </c>
      <c r="G424" s="100">
        <v>831</v>
      </c>
      <c r="H424" s="17" t="s">
        <v>190</v>
      </c>
      <c r="I424" s="100" t="str">
        <f>IF(OR(F424=152,F424=162,F424=510),IF((OR(LEFT(RIGHT(E424,13),1)={"A","D","E","F","G","I","L","N","P","R","S","T","V"})),"Ф",""),"")</f>
        <v/>
      </c>
    </row>
    <row r="425" spans="4:9" x14ac:dyDescent="0.3">
      <c r="D425" s="48" t="str">
        <f>CONCATENATE(УЧРЕЖДЕНИЯ!$A$3)</f>
        <v>Детсад</v>
      </c>
      <c r="E425" s="99" t="s">
        <v>378</v>
      </c>
      <c r="F425" s="100">
        <v>296</v>
      </c>
      <c r="G425" s="100">
        <v>831</v>
      </c>
      <c r="H425" s="17" t="s">
        <v>190</v>
      </c>
      <c r="I425" s="100" t="str">
        <f>IF(OR(F425=152,F425=162,F425=510),IF((OR(LEFT(RIGHT(E425,13),1)={"A","D","E","F","G","I","L","N","P","R","S","T","V"})),"Ф",""),"")</f>
        <v/>
      </c>
    </row>
    <row r="426" spans="4:9" x14ac:dyDescent="0.3">
      <c r="D426" s="48" t="str">
        <f>CONCATENATE(УЧРЕЖДЕНИЯ!$A$3)</f>
        <v>Детсад</v>
      </c>
      <c r="E426" s="99" t="s">
        <v>378</v>
      </c>
      <c r="F426" s="100">
        <v>297</v>
      </c>
      <c r="G426" s="100">
        <v>831</v>
      </c>
      <c r="H426" s="17" t="s">
        <v>190</v>
      </c>
      <c r="I426" s="100" t="str">
        <f>IF(OR(F426=152,F426=162,F426=510),IF((OR(LEFT(RIGHT(E426,13),1)={"A","D","E","F","G","I","L","N","P","R","S","T","V"})),"Ф",""),"")</f>
        <v/>
      </c>
    </row>
    <row r="427" spans="4:9" x14ac:dyDescent="0.3">
      <c r="D427" s="48" t="str">
        <f>CONCATENATE(УЧРЕЖДЕНИЯ!$A$3)</f>
        <v>Детсад</v>
      </c>
      <c r="E427" s="99" t="s">
        <v>379</v>
      </c>
      <c r="F427" s="100">
        <v>291</v>
      </c>
      <c r="G427" s="100">
        <v>851</v>
      </c>
      <c r="H427" s="17" t="s">
        <v>190</v>
      </c>
      <c r="I427" s="100" t="str">
        <f>IF(OR(F427=152,F427=162,F427=510),IF((OR(LEFT(RIGHT(E427,13),1)={"A","D","E","F","G","I","L","N","P","R","S","T","V"})),"Ф",""),"")</f>
        <v/>
      </c>
    </row>
    <row r="428" spans="4:9" x14ac:dyDescent="0.3">
      <c r="D428" s="48" t="str">
        <f>CONCATENATE(УЧРЕЖДЕНИЯ!$A$3)</f>
        <v>Детсад</v>
      </c>
      <c r="E428" s="99" t="s">
        <v>380</v>
      </c>
      <c r="F428" s="100">
        <v>291</v>
      </c>
      <c r="G428" s="100">
        <v>852</v>
      </c>
      <c r="H428" s="17" t="s">
        <v>190</v>
      </c>
      <c r="I428" s="100" t="str">
        <f>IF(OR(F428=152,F428=162,F428=510),IF((OR(LEFT(RIGHT(E428,13),1)={"A","D","E","F","G","I","L","N","P","R","S","T","V"})),"Ф",""),"")</f>
        <v/>
      </c>
    </row>
    <row r="429" spans="4:9" x14ac:dyDescent="0.3">
      <c r="D429" s="48" t="str">
        <f>CONCATENATE(УЧРЕЖДЕНИЯ!$A$3)</f>
        <v>Детсад</v>
      </c>
      <c r="E429" s="99" t="s">
        <v>381</v>
      </c>
      <c r="F429" s="100">
        <v>291</v>
      </c>
      <c r="G429" s="100">
        <v>853</v>
      </c>
      <c r="H429" s="17" t="s">
        <v>190</v>
      </c>
      <c r="I429" s="100" t="str">
        <f>IF(OR(F429=152,F429=162,F429=510),IF((OR(LEFT(RIGHT(E429,13),1)={"A","D","E","F","G","I","L","N","P","R","S","T","V"})),"Ф",""),"")</f>
        <v/>
      </c>
    </row>
    <row r="430" spans="4:9" x14ac:dyDescent="0.3">
      <c r="D430" s="48" t="str">
        <f>CONCATENATE(УЧРЕЖДЕНИЯ!$A$3)</f>
        <v>Детсад</v>
      </c>
      <c r="E430" s="99" t="s">
        <v>381</v>
      </c>
      <c r="F430" s="100">
        <v>292</v>
      </c>
      <c r="G430" s="100">
        <v>853</v>
      </c>
      <c r="H430" s="17" t="s">
        <v>190</v>
      </c>
      <c r="I430" s="100" t="str">
        <f>IF(OR(F430=152,F430=162,F430=510),IF((OR(LEFT(RIGHT(E430,13),1)={"A","D","E","F","G","I","L","N","P","R","S","T","V"})),"Ф",""),"")</f>
        <v/>
      </c>
    </row>
    <row r="431" spans="4:9" x14ac:dyDescent="0.3">
      <c r="D431" s="48" t="str">
        <f>CONCATENATE(УЧРЕЖДЕНИЯ!$A$3)</f>
        <v>Детсад</v>
      </c>
      <c r="E431" s="99" t="s">
        <v>381</v>
      </c>
      <c r="F431" s="100">
        <v>293</v>
      </c>
      <c r="G431" s="100">
        <v>853</v>
      </c>
      <c r="H431" s="17" t="s">
        <v>190</v>
      </c>
      <c r="I431" s="100" t="str">
        <f>IF(OR(F431=152,F431=162,F431=510),IF((OR(LEFT(RIGHT(E431,13),1)={"A","D","E","F","G","I","L","N","P","R","S","T","V"})),"Ф",""),"")</f>
        <v/>
      </c>
    </row>
    <row r="432" spans="4:9" x14ac:dyDescent="0.3">
      <c r="D432" s="48" t="str">
        <f>CONCATENATE(УЧРЕЖДЕНИЯ!$A$3)</f>
        <v>Детсад</v>
      </c>
      <c r="E432" s="99" t="s">
        <v>381</v>
      </c>
      <c r="F432" s="100">
        <v>295</v>
      </c>
      <c r="G432" s="100">
        <v>853</v>
      </c>
      <c r="H432" s="17" t="s">
        <v>190</v>
      </c>
      <c r="I432" s="100" t="str">
        <f>IF(OR(F432=152,F432=162,F432=510),IF((OR(LEFT(RIGHT(E432,13),1)={"A","D","E","F","G","I","L","N","P","R","S","T","V"})),"Ф",""),"")</f>
        <v/>
      </c>
    </row>
    <row r="433" spans="4:9" x14ac:dyDescent="0.3">
      <c r="D433" s="48" t="str">
        <f>CONCATENATE(УЧРЕЖДЕНИЯ!$A$3)</f>
        <v>Детсад</v>
      </c>
      <c r="E433" s="99" t="s">
        <v>381</v>
      </c>
      <c r="F433" s="100">
        <v>296</v>
      </c>
      <c r="G433" s="100">
        <v>853</v>
      </c>
      <c r="H433" s="17" t="s">
        <v>190</v>
      </c>
      <c r="I433" s="100" t="str">
        <f>IF(OR(F433=152,F433=162,F433=510),IF((OR(LEFT(RIGHT(E433,13),1)={"A","D","E","F","G","I","L","N","P","R","S","T","V"})),"Ф",""),"")</f>
        <v/>
      </c>
    </row>
    <row r="434" spans="4:9" x14ac:dyDescent="0.3">
      <c r="D434" s="48" t="str">
        <f>CONCATENATE(УЧРЕЖДЕНИЯ!$A$3)</f>
        <v>Детсад</v>
      </c>
      <c r="E434" s="99" t="s">
        <v>383</v>
      </c>
      <c r="F434" s="100">
        <v>131</v>
      </c>
      <c r="G434" s="100">
        <v>130</v>
      </c>
      <c r="H434" s="17" t="s">
        <v>190</v>
      </c>
      <c r="I434" s="100" t="str">
        <f>IF(OR(F434=152,F434=162,F434=510),IF((OR(LEFT(RIGHT(E434,13),1)={"A","D","E","F","G","I","L","N","P","R","S","T","V"})),"Ф",""),"")</f>
        <v/>
      </c>
    </row>
    <row r="435" spans="4:9" x14ac:dyDescent="0.3">
      <c r="D435" s="48" t="str">
        <f>CONCATENATE(УЧРЕЖДЕНИЯ!$A$3)</f>
        <v>Детсад</v>
      </c>
      <c r="E435" s="99" t="s">
        <v>384</v>
      </c>
      <c r="F435" s="100">
        <v>211</v>
      </c>
      <c r="G435" s="100">
        <v>111</v>
      </c>
      <c r="H435" s="17" t="s">
        <v>190</v>
      </c>
      <c r="I435" s="100" t="str">
        <f>IF(OR(F435=152,F435=162,F435=510),IF((OR(LEFT(RIGHT(E435,13),1)={"A","D","E","F","G","I","L","N","P","R","S","T","V"})),"Ф",""),"")</f>
        <v/>
      </c>
    </row>
    <row r="436" spans="4:9" x14ac:dyDescent="0.3">
      <c r="D436" s="48" t="str">
        <f>CONCATENATE(УЧРЕЖДЕНИЯ!$A$3)</f>
        <v>Детсад</v>
      </c>
      <c r="E436" s="99" t="s">
        <v>384</v>
      </c>
      <c r="F436" s="100">
        <v>266</v>
      </c>
      <c r="G436" s="100">
        <v>111</v>
      </c>
      <c r="H436" s="17" t="s">
        <v>190</v>
      </c>
      <c r="I436" s="100" t="str">
        <f>IF(OR(F436=152,F436=162,F436=510),IF((OR(LEFT(RIGHT(E436,13),1)={"A","D","E","F","G","I","L","N","P","R","S","T","V"})),"Ф",""),"")</f>
        <v/>
      </c>
    </row>
    <row r="437" spans="4:9" x14ac:dyDescent="0.3">
      <c r="D437" s="48" t="str">
        <f>CONCATENATE(УЧРЕЖДЕНИЯ!$A$3)</f>
        <v>Детсад</v>
      </c>
      <c r="E437" s="99" t="s">
        <v>385</v>
      </c>
      <c r="F437" s="100">
        <v>212</v>
      </c>
      <c r="G437" s="100">
        <v>112</v>
      </c>
      <c r="H437" s="17" t="s">
        <v>190</v>
      </c>
      <c r="I437" s="100" t="str">
        <f>IF(OR(F437=152,F437=162,F437=510),IF((OR(LEFT(RIGHT(E437,13),1)={"A","D","E","F","G","I","L","N","P","R","S","T","V"})),"Ф",""),"")</f>
        <v/>
      </c>
    </row>
    <row r="438" spans="4:9" x14ac:dyDescent="0.3">
      <c r="D438" s="48" t="str">
        <f>CONCATENATE(УЧРЕЖДЕНИЯ!$A$3)</f>
        <v>Детсад</v>
      </c>
      <c r="E438" s="99" t="s">
        <v>385</v>
      </c>
      <c r="F438" s="100">
        <v>226</v>
      </c>
      <c r="G438" s="100">
        <v>112</v>
      </c>
      <c r="H438" s="17" t="s">
        <v>190</v>
      </c>
      <c r="I438" s="100" t="str">
        <f>IF(OR(F438=152,F438=162,F438=510),IF((OR(LEFT(RIGHT(E438,13),1)={"A","D","E","F","G","I","L","N","P","R","S","T","V"})),"Ф",""),"")</f>
        <v/>
      </c>
    </row>
    <row r="439" spans="4:9" x14ac:dyDescent="0.3">
      <c r="D439" s="48" t="str">
        <f>CONCATENATE(УЧРЕЖДЕНИЯ!$A$3)</f>
        <v>Детсад</v>
      </c>
      <c r="E439" s="99" t="s">
        <v>385</v>
      </c>
      <c r="F439" s="100">
        <v>266</v>
      </c>
      <c r="G439" s="100">
        <v>112</v>
      </c>
      <c r="H439" s="17" t="s">
        <v>190</v>
      </c>
      <c r="I439" s="100" t="str">
        <f>IF(OR(F439=152,F439=162,F439=510),IF((OR(LEFT(RIGHT(E439,13),1)={"A","D","E","F","G","I","L","N","P","R","S","T","V"})),"Ф",""),"")</f>
        <v/>
      </c>
    </row>
    <row r="440" spans="4:9" x14ac:dyDescent="0.3">
      <c r="D440" s="48" t="str">
        <f>CONCATENATE(УЧРЕЖДЕНИЯ!$A$3)</f>
        <v>Детсад</v>
      </c>
      <c r="E440" s="99" t="s">
        <v>386</v>
      </c>
      <c r="F440" s="100">
        <v>213</v>
      </c>
      <c r="G440" s="100">
        <v>119</v>
      </c>
      <c r="H440" s="17" t="s">
        <v>190</v>
      </c>
      <c r="I440" s="100" t="str">
        <f>IF(OR(F440=152,F440=162,F440=510),IF((OR(LEFT(RIGHT(E440,13),1)={"A","D","E","F","G","I","L","N","P","R","S","T","V"})),"Ф",""),"")</f>
        <v/>
      </c>
    </row>
    <row r="441" spans="4:9" x14ac:dyDescent="0.3">
      <c r="D441" s="48" t="str">
        <f>CONCATENATE(УЧРЕЖДЕНИЯ!$A$3)</f>
        <v>Детсад</v>
      </c>
      <c r="E441" s="99" t="s">
        <v>387</v>
      </c>
      <c r="F441" s="100">
        <v>221</v>
      </c>
      <c r="G441" s="100">
        <v>244</v>
      </c>
      <c r="H441" s="17" t="s">
        <v>190</v>
      </c>
      <c r="I441" s="100" t="str">
        <f>IF(OR(F441=152,F441=162,F441=510),IF((OR(LEFT(RIGHT(E441,13),1)={"A","D","E","F","G","I","L","N","P","R","S","T","V"})),"Ф",""),"")</f>
        <v/>
      </c>
    </row>
    <row r="442" spans="4:9" x14ac:dyDescent="0.3">
      <c r="D442" s="48" t="str">
        <f>CONCATENATE(УЧРЕЖДЕНИЯ!$A$3)</f>
        <v>Детсад</v>
      </c>
      <c r="E442" s="99" t="s">
        <v>387</v>
      </c>
      <c r="F442" s="100">
        <v>222</v>
      </c>
      <c r="G442" s="100">
        <v>244</v>
      </c>
      <c r="H442" s="17" t="s">
        <v>190</v>
      </c>
      <c r="I442" s="100" t="str">
        <f>IF(OR(F442=152,F442=162,F442=510),IF((OR(LEFT(RIGHT(E442,13),1)={"A","D","E","F","G","I","L","N","P","R","S","T","V"})),"Ф",""),"")</f>
        <v/>
      </c>
    </row>
    <row r="443" spans="4:9" x14ac:dyDescent="0.3">
      <c r="D443" s="48" t="str">
        <f>CONCATENATE(УЧРЕЖДЕНИЯ!$A$3)</f>
        <v>Детсад</v>
      </c>
      <c r="E443" s="99" t="s">
        <v>387</v>
      </c>
      <c r="F443" s="100">
        <v>226</v>
      </c>
      <c r="G443" s="100">
        <v>244</v>
      </c>
      <c r="H443" s="17" t="s">
        <v>190</v>
      </c>
      <c r="I443" s="100" t="str">
        <f>IF(OR(F443=152,F443=162,F443=510),IF((OR(LEFT(RIGHT(E443,13),1)={"A","D","E","F","G","I","L","N","P","R","S","T","V"})),"Ф",""),"")</f>
        <v/>
      </c>
    </row>
    <row r="444" spans="4:9" x14ac:dyDescent="0.3">
      <c r="D444" s="48" t="str">
        <f>CONCATENATE(УЧРЕЖДЕНИЯ!$A$3)</f>
        <v>Детсад</v>
      </c>
      <c r="E444" s="99" t="s">
        <v>387</v>
      </c>
      <c r="F444" s="100">
        <v>310</v>
      </c>
      <c r="G444" s="100">
        <v>244</v>
      </c>
      <c r="H444" s="17" t="s">
        <v>190</v>
      </c>
      <c r="I444" s="100" t="str">
        <f>IF(OR(F444=152,F444=162,F444=510),IF((OR(LEFT(RIGHT(E444,13),1)={"A","D","E","F","G","I","L","N","P","R","S","T","V"})),"Ф",""),"")</f>
        <v/>
      </c>
    </row>
    <row r="445" spans="4:9" x14ac:dyDescent="0.3">
      <c r="D445" s="48" t="str">
        <f>CONCATENATE(УЧРЕЖДЕНИЯ!$A$3)</f>
        <v>Детсад</v>
      </c>
      <c r="E445" s="99" t="s">
        <v>387</v>
      </c>
      <c r="F445" s="100">
        <v>346</v>
      </c>
      <c r="G445" s="100">
        <v>244</v>
      </c>
      <c r="H445" s="17" t="s">
        <v>190</v>
      </c>
      <c r="I445" s="100" t="str">
        <f>IF(OR(F445=152,F445=162,F445=510),IF((OR(LEFT(RIGHT(E445,13),1)={"A","D","E","F","G","I","L","N","P","R","S","T","V"})),"Ф",""),"")</f>
        <v/>
      </c>
    </row>
    <row r="446" spans="4:9" x14ac:dyDescent="0.3">
      <c r="D446" s="48" t="str">
        <f>CONCATENATE(УЧРЕЖДЕНИЯ!$A$3)</f>
        <v>Детсад</v>
      </c>
      <c r="E446" s="99" t="s">
        <v>382</v>
      </c>
      <c r="F446" s="100">
        <v>510</v>
      </c>
      <c r="G446" s="100">
        <v>510</v>
      </c>
      <c r="H446" s="17" t="s">
        <v>190</v>
      </c>
      <c r="I446" s="100" t="str">
        <f>IF(OR(F446=152,F446=162,F446=510),IF((OR(LEFT(RIGHT(E446,13),1)={"A","D","E","F","G","I","L","N","P","R","S","T","V"})),"Ф",""),"")</f>
        <v/>
      </c>
    </row>
    <row r="447" spans="4:9" x14ac:dyDescent="0.3">
      <c r="D447" s="48" t="str">
        <f>CONCATENATE(УЧРЕЖДЕНИЯ!$A$3)</f>
        <v>Детсад</v>
      </c>
      <c r="E447" s="99" t="s">
        <v>389</v>
      </c>
      <c r="F447" s="100">
        <v>131</v>
      </c>
      <c r="G447" s="100">
        <v>130</v>
      </c>
      <c r="H447" s="17" t="s">
        <v>190</v>
      </c>
      <c r="I447" s="100" t="str">
        <f>IF(OR(F447=152,F447=162,F447=510),IF((OR(LEFT(RIGHT(E447,13),1)={"A","D","E","F","G","I","L","N","P","R","S","T","V"})),"Ф",""),"")</f>
        <v/>
      </c>
    </row>
    <row r="448" spans="4:9" x14ac:dyDescent="0.3">
      <c r="D448" s="48" t="str">
        <f>CONCATENATE(УЧРЕЖДЕНИЯ!$A$3)</f>
        <v>Детсад</v>
      </c>
      <c r="E448" s="99" t="s">
        <v>390</v>
      </c>
      <c r="F448" s="100">
        <v>211</v>
      </c>
      <c r="G448" s="100">
        <v>111</v>
      </c>
      <c r="H448" s="17" t="s">
        <v>190</v>
      </c>
      <c r="I448" s="100" t="str">
        <f>IF(OR(F448=152,F448=162,F448=510),IF((OR(LEFT(RIGHT(E448,13),1)={"A","D","E","F","G","I","L","N","P","R","S","T","V"})),"Ф",""),"")</f>
        <v/>
      </c>
    </row>
    <row r="449" spans="2:9" x14ac:dyDescent="0.3">
      <c r="D449" s="48" t="str">
        <f>CONCATENATE(УЧРЕЖДЕНИЯ!$A$3)</f>
        <v>Детсад</v>
      </c>
      <c r="E449" s="99" t="s">
        <v>391</v>
      </c>
      <c r="F449" s="100">
        <v>213</v>
      </c>
      <c r="G449" s="100">
        <v>119</v>
      </c>
      <c r="H449" s="17" t="s">
        <v>190</v>
      </c>
      <c r="I449" s="100" t="str">
        <f>IF(OR(F449=152,F449=162,F449=510),IF((OR(LEFT(RIGHT(E449,13),1)={"A","D","E","F","G","I","L","N","P","R","S","T","V"})),"Ф",""),"")</f>
        <v/>
      </c>
    </row>
    <row r="450" spans="2:9" x14ac:dyDescent="0.3">
      <c r="D450" s="48" t="str">
        <f>CONCATENATE(УЧРЕЖДЕНИЯ!$A$3)</f>
        <v>Детсад</v>
      </c>
      <c r="E450" s="99" t="s">
        <v>388</v>
      </c>
      <c r="F450" s="100">
        <v>510</v>
      </c>
      <c r="G450" s="100">
        <v>510</v>
      </c>
      <c r="H450" s="17" t="s">
        <v>190</v>
      </c>
      <c r="I450" s="100" t="str">
        <f>IF(OR(F450=152,F450=162,F450=510),IF((OR(LEFT(RIGHT(E450,13),1)={"A","D","E","F","G","I","L","N","P","R","S","T","V"})),"Ф",""),"")</f>
        <v/>
      </c>
    </row>
    <row r="451" spans="2:9" x14ac:dyDescent="0.3">
      <c r="B451" s="48" t="s">
        <v>739</v>
      </c>
      <c r="C451" s="48" t="s">
        <v>737</v>
      </c>
      <c r="D451" s="48" t="str">
        <f>CONCATENATE(УЧРЕЖДЕНИЯ!$A$4)</f>
        <v>Школа</v>
      </c>
      <c r="E451" s="99" t="s">
        <v>393</v>
      </c>
      <c r="F451" s="100">
        <v>131</v>
      </c>
      <c r="G451" s="100">
        <v>130</v>
      </c>
      <c r="H451" s="17" t="s">
        <v>191</v>
      </c>
      <c r="I451" s="100" t="str">
        <f>IF(OR(F451=152,F451=162,F451=510),IF((OR(LEFT(RIGHT(E451,13),1)={"A","D","E","F","G","I","L","N","P","R","S","T","V"})),"Ф",""),"")</f>
        <v/>
      </c>
    </row>
    <row r="452" spans="2:9" x14ac:dyDescent="0.3">
      <c r="D452" s="48" t="str">
        <f>CONCATENATE(УЧРЕЖДЕНИЯ!$A$4)</f>
        <v>Школа</v>
      </c>
      <c r="E452" s="99" t="s">
        <v>394</v>
      </c>
      <c r="F452" s="100">
        <v>211</v>
      </c>
      <c r="G452" s="100">
        <v>111</v>
      </c>
      <c r="H452" s="17" t="s">
        <v>191</v>
      </c>
      <c r="I452" s="100" t="str">
        <f>IF(OR(F452=152,F452=162,F452=510),IF((OR(LEFT(RIGHT(E452,13),1)={"A","D","E","F","G","I","L","N","P","R","S","T","V"})),"Ф",""),"")</f>
        <v/>
      </c>
    </row>
    <row r="453" spans="2:9" x14ac:dyDescent="0.3">
      <c r="D453" s="48" t="str">
        <f>CONCATENATE(УЧРЕЖДЕНИЯ!$A$4)</f>
        <v>Школа</v>
      </c>
      <c r="E453" s="99" t="s">
        <v>394</v>
      </c>
      <c r="F453" s="100">
        <v>266</v>
      </c>
      <c r="G453" s="100">
        <v>111</v>
      </c>
      <c r="H453" s="17" t="s">
        <v>191</v>
      </c>
      <c r="I453" s="100" t="str">
        <f>IF(OR(F453=152,F453=162,F453=510),IF((OR(LEFT(RIGHT(E453,13),1)={"A","D","E","F","G","I","L","N","P","R","S","T","V"})),"Ф",""),"")</f>
        <v/>
      </c>
    </row>
    <row r="454" spans="2:9" x14ac:dyDescent="0.3">
      <c r="D454" s="48" t="str">
        <f>CONCATENATE(УЧРЕЖДЕНИЯ!$A$4)</f>
        <v>Школа</v>
      </c>
      <c r="E454" s="99" t="s">
        <v>395</v>
      </c>
      <c r="F454" s="100">
        <v>213</v>
      </c>
      <c r="G454" s="100">
        <v>119</v>
      </c>
      <c r="H454" s="17" t="s">
        <v>191</v>
      </c>
      <c r="I454" s="100" t="str">
        <f>IF(OR(F454=152,F454=162,F454=510),IF((OR(LEFT(RIGHT(E454,13),1)={"A","D","E","F","G","I","L","N","P","R","S","T","V"})),"Ф",""),"")</f>
        <v/>
      </c>
    </row>
    <row r="455" spans="2:9" x14ac:dyDescent="0.3">
      <c r="D455" s="48" t="str">
        <f>CONCATENATE(УЧРЕЖДЕНИЯ!$A$4)</f>
        <v>Школа</v>
      </c>
      <c r="E455" s="99" t="s">
        <v>396</v>
      </c>
      <c r="F455" s="100">
        <v>212</v>
      </c>
      <c r="G455" s="100">
        <v>112</v>
      </c>
      <c r="H455" s="17" t="s">
        <v>191</v>
      </c>
      <c r="I455" s="100" t="str">
        <f>IF(OR(F455=152,F455=162,F455=510),IF((OR(LEFT(RIGHT(E455,13),1)={"A","D","E","F","G","I","L","N","P","R","S","T","V"})),"Ф",""),"")</f>
        <v/>
      </c>
    </row>
    <row r="456" spans="2:9" x14ac:dyDescent="0.3">
      <c r="D456" s="48" t="str">
        <f>CONCATENATE(УЧРЕЖДЕНИЯ!$A$4)</f>
        <v>Школа</v>
      </c>
      <c r="E456" s="99" t="s">
        <v>396</v>
      </c>
      <c r="F456" s="100">
        <v>226</v>
      </c>
      <c r="G456" s="100">
        <v>112</v>
      </c>
      <c r="H456" s="17" t="s">
        <v>191</v>
      </c>
      <c r="I456" s="100" t="str">
        <f>IF(OR(F456=152,F456=162,F456=510),IF((OR(LEFT(RIGHT(E456,13),1)={"A","D","E","F","G","I","L","N","P","R","S","T","V"})),"Ф",""),"")</f>
        <v/>
      </c>
    </row>
    <row r="457" spans="2:9" x14ac:dyDescent="0.3">
      <c r="D457" s="48" t="str">
        <f>CONCATENATE(УЧРЕЖДЕНИЯ!$A$4)</f>
        <v>Школа</v>
      </c>
      <c r="E457" s="99" t="s">
        <v>396</v>
      </c>
      <c r="F457" s="100">
        <v>266</v>
      </c>
      <c r="G457" s="100">
        <v>112</v>
      </c>
      <c r="H457" s="17" t="s">
        <v>191</v>
      </c>
      <c r="I457" s="100" t="str">
        <f>IF(OR(F457=152,F457=162,F457=510),IF((OR(LEFT(RIGHT(E457,13),1)={"A","D","E","F","G","I","L","N","P","R","S","T","V"})),"Ф",""),"")</f>
        <v/>
      </c>
    </row>
    <row r="458" spans="2:9" x14ac:dyDescent="0.3">
      <c r="D458" s="48" t="str">
        <f>CONCATENATE(УЧРЕЖДЕНИЯ!$A$4)</f>
        <v>Школа</v>
      </c>
      <c r="E458" s="99" t="s">
        <v>397</v>
      </c>
      <c r="F458" s="100">
        <v>221</v>
      </c>
      <c r="G458" s="100">
        <v>244</v>
      </c>
      <c r="H458" s="17" t="s">
        <v>191</v>
      </c>
      <c r="I458" s="100" t="str">
        <f>IF(OR(F458=152,F458=162,F458=510),IF((OR(LEFT(RIGHT(E458,13),1)={"A","D","E","F","G","I","L","N","P","R","S","T","V"})),"Ф",""),"")</f>
        <v/>
      </c>
    </row>
    <row r="459" spans="2:9" x14ac:dyDescent="0.3">
      <c r="D459" s="48" t="str">
        <f>CONCATENATE(УЧРЕЖДЕНИЯ!$A$4)</f>
        <v>Школа</v>
      </c>
      <c r="E459" s="99" t="s">
        <v>397</v>
      </c>
      <c r="F459" s="100">
        <v>222</v>
      </c>
      <c r="G459" s="100">
        <v>244</v>
      </c>
      <c r="H459" s="17" t="s">
        <v>191</v>
      </c>
      <c r="I459" s="100" t="str">
        <f>IF(OR(F459=152,F459=162,F459=510),IF((OR(LEFT(RIGHT(E459,13),1)={"A","D","E","F","G","I","L","N","P","R","S","T","V"})),"Ф",""),"")</f>
        <v/>
      </c>
    </row>
    <row r="460" spans="2:9" x14ac:dyDescent="0.3">
      <c r="D460" s="48" t="str">
        <f>CONCATENATE(УЧРЕЖДЕНИЯ!$A$4)</f>
        <v>Школа</v>
      </c>
      <c r="E460" s="99" t="s">
        <v>398</v>
      </c>
      <c r="F460" s="100">
        <v>2233</v>
      </c>
      <c r="G460" s="100">
        <v>244</v>
      </c>
      <c r="H460" s="17" t="s">
        <v>191</v>
      </c>
      <c r="I460" s="100" t="str">
        <f>IF(OR(F460=152,F460=162,F460=510),IF((OR(LEFT(RIGHT(E460,13),1)={"A","D","E","F","G","I","L","N","P","R","S","T","V"})),"Ф",""),"")</f>
        <v/>
      </c>
    </row>
    <row r="461" spans="2:9" x14ac:dyDescent="0.3">
      <c r="D461" s="48" t="str">
        <f>CONCATENATE(УЧРЕЖДЕНИЯ!$A$4)</f>
        <v>Школа</v>
      </c>
      <c r="E461" s="99" t="s">
        <v>672</v>
      </c>
      <c r="F461" s="100">
        <v>2234</v>
      </c>
      <c r="G461" s="100">
        <v>244</v>
      </c>
      <c r="H461" s="17" t="s">
        <v>191</v>
      </c>
      <c r="I461" s="100" t="str">
        <f>IF(OR(F461=152,F461=162,F461=510),IF((OR(LEFT(RIGHT(E461,13),1)={"A","D","E","F","G","I","L","N","P","R","S","T","V"})),"Ф",""),"")</f>
        <v/>
      </c>
    </row>
    <row r="462" spans="2:9" x14ac:dyDescent="0.3">
      <c r="D462" s="48" t="str">
        <f>CONCATENATE(УЧРЕЖДЕНИЯ!$A$4)</f>
        <v>Школа</v>
      </c>
      <c r="E462" s="99" t="s">
        <v>397</v>
      </c>
      <c r="F462" s="100">
        <v>225</v>
      </c>
      <c r="G462" s="100">
        <v>244</v>
      </c>
      <c r="H462" s="17" t="s">
        <v>191</v>
      </c>
      <c r="I462" s="100" t="str">
        <f>IF(OR(F462=152,F462=162,F462=510),IF((OR(LEFT(RIGHT(E462,13),1)={"A","D","E","F","G","I","L","N","P","R","S","T","V"})),"Ф",""),"")</f>
        <v/>
      </c>
    </row>
    <row r="463" spans="2:9" x14ac:dyDescent="0.3">
      <c r="D463" s="48" t="str">
        <f>CONCATENATE(УЧРЕЖДЕНИЯ!$A$4)</f>
        <v>Школа</v>
      </c>
      <c r="E463" s="99" t="s">
        <v>397</v>
      </c>
      <c r="F463" s="100">
        <v>226</v>
      </c>
      <c r="G463" s="100">
        <v>244</v>
      </c>
      <c r="H463" s="17" t="s">
        <v>191</v>
      </c>
      <c r="I463" s="100" t="str">
        <f>IF(OR(F463=152,F463=162,F463=510),IF((OR(LEFT(RIGHT(E463,13),1)={"A","D","E","F","G","I","L","N","P","R","S","T","V"})),"Ф",""),"")</f>
        <v/>
      </c>
    </row>
    <row r="464" spans="2:9" x14ac:dyDescent="0.3">
      <c r="D464" s="48" t="str">
        <f>CONCATENATE(УЧРЕЖДЕНИЯ!$A$4)</f>
        <v>Школа</v>
      </c>
      <c r="E464" s="99" t="s">
        <v>397</v>
      </c>
      <c r="F464" s="100">
        <v>227</v>
      </c>
      <c r="G464" s="100">
        <v>244</v>
      </c>
      <c r="H464" s="17" t="s">
        <v>191</v>
      </c>
      <c r="I464" s="100" t="str">
        <f>IF(OR(F464=152,F464=162,F464=510),IF((OR(LEFT(RIGHT(E464,13),1)={"A","D","E","F","G","I","L","N","P","R","S","T","V"})),"Ф",""),"")</f>
        <v/>
      </c>
    </row>
    <row r="465" spans="4:9" x14ac:dyDescent="0.3">
      <c r="D465" s="48" t="str">
        <f>CONCATENATE(УЧРЕЖДЕНИЯ!$A$4)</f>
        <v>Школа</v>
      </c>
      <c r="E465" s="99" t="s">
        <v>397</v>
      </c>
      <c r="F465" s="100">
        <v>228</v>
      </c>
      <c r="G465" s="100">
        <v>244</v>
      </c>
      <c r="H465" s="17" t="s">
        <v>191</v>
      </c>
      <c r="I465" s="100" t="str">
        <f>IF(OR(F465=152,F465=162,F465=510),IF((OR(LEFT(RIGHT(E465,13),1)={"A","D","E","F","G","I","L","N","P","R","S","T","V"})),"Ф",""),"")</f>
        <v/>
      </c>
    </row>
    <row r="466" spans="4:9" x14ac:dyDescent="0.3">
      <c r="D466" s="48" t="str">
        <f>CONCATENATE(УЧРЕЖДЕНИЯ!$A$4)</f>
        <v>Школа</v>
      </c>
      <c r="E466" s="99" t="s">
        <v>397</v>
      </c>
      <c r="F466" s="100">
        <v>296</v>
      </c>
      <c r="G466" s="100">
        <v>244</v>
      </c>
      <c r="H466" s="17" t="s">
        <v>191</v>
      </c>
      <c r="I466" s="100" t="str">
        <f>IF(OR(F466=152,F466=162,F466=510),IF((OR(LEFT(RIGHT(E466,13),1)={"A","D","E","F","G","I","L","N","P","R","S","T","V"})),"Ф",""),"")</f>
        <v/>
      </c>
    </row>
    <row r="467" spans="4:9" x14ac:dyDescent="0.3">
      <c r="D467" s="48" t="str">
        <f>CONCATENATE(УЧРЕЖДЕНИЯ!$A$4)</f>
        <v>Школа</v>
      </c>
      <c r="E467" s="99" t="s">
        <v>397</v>
      </c>
      <c r="F467" s="100">
        <v>310</v>
      </c>
      <c r="G467" s="100">
        <v>244</v>
      </c>
      <c r="H467" s="17" t="s">
        <v>191</v>
      </c>
      <c r="I467" s="100" t="str">
        <f>IF(OR(F467=152,F467=162,F467=510),IF((OR(LEFT(RIGHT(E467,13),1)={"A","D","E","F","G","I","L","N","P","R","S","T","V"})),"Ф",""),"")</f>
        <v/>
      </c>
    </row>
    <row r="468" spans="4:9" x14ac:dyDescent="0.3">
      <c r="D468" s="48" t="str">
        <f>CONCATENATE(УЧРЕЖДЕНИЯ!$A$4)</f>
        <v>Школа</v>
      </c>
      <c r="E468" s="99" t="s">
        <v>399</v>
      </c>
      <c r="F468" s="100">
        <v>341</v>
      </c>
      <c r="G468" s="100">
        <v>244</v>
      </c>
      <c r="H468" s="17" t="s">
        <v>191</v>
      </c>
      <c r="I468" s="100" t="str">
        <f>IF(OR(F468=152,F468=162,F468=510),IF((OR(LEFT(RIGHT(E468,13),1)={"A","D","E","F","G","I","L","N","P","R","S","T","V"})),"Ф",""),"")</f>
        <v/>
      </c>
    </row>
    <row r="469" spans="4:9" x14ac:dyDescent="0.3">
      <c r="D469" s="48" t="str">
        <f>CONCATENATE(УЧРЕЖДЕНИЯ!$A$4)</f>
        <v>Школа</v>
      </c>
      <c r="E469" s="99" t="s">
        <v>397</v>
      </c>
      <c r="F469" s="100">
        <v>342</v>
      </c>
      <c r="G469" s="100">
        <v>244</v>
      </c>
      <c r="H469" s="17" t="s">
        <v>191</v>
      </c>
      <c r="I469" s="100" t="str">
        <f>IF(OR(F469=152,F469=162,F469=510),IF((OR(LEFT(RIGHT(E469,13),1)={"A","D","E","F","G","I","L","N","P","R","S","T","V"})),"Ф",""),"")</f>
        <v/>
      </c>
    </row>
    <row r="470" spans="4:9" x14ac:dyDescent="0.3">
      <c r="D470" s="48" t="str">
        <f>CONCATENATE(УЧРЕЖДЕНИЯ!$A$4)</f>
        <v>Школа</v>
      </c>
      <c r="E470" s="99" t="s">
        <v>397</v>
      </c>
      <c r="F470" s="100">
        <v>343</v>
      </c>
      <c r="G470" s="100">
        <v>244</v>
      </c>
      <c r="H470" s="17" t="s">
        <v>191</v>
      </c>
      <c r="I470" s="100" t="str">
        <f>IF(OR(F470=152,F470=162,F470=510),IF((OR(LEFT(RIGHT(E470,13),1)={"A","D","E","F","G","I","L","N","P","R","S","T","V"})),"Ф",""),"")</f>
        <v/>
      </c>
    </row>
    <row r="471" spans="4:9" x14ac:dyDescent="0.3">
      <c r="D471" s="48" t="str">
        <f>CONCATENATE(УЧРЕЖДЕНИЯ!$A$4)</f>
        <v>Школа</v>
      </c>
      <c r="E471" s="99" t="s">
        <v>397</v>
      </c>
      <c r="F471" s="100">
        <v>344</v>
      </c>
      <c r="G471" s="100">
        <v>244</v>
      </c>
      <c r="H471" s="17" t="s">
        <v>191</v>
      </c>
      <c r="I471" s="100" t="str">
        <f>IF(OR(F471=152,F471=162,F471=510),IF((OR(LEFT(RIGHT(E471,13),1)={"A","D","E","F","G","I","L","N","P","R","S","T","V"})),"Ф",""),"")</f>
        <v/>
      </c>
    </row>
    <row r="472" spans="4:9" x14ac:dyDescent="0.3">
      <c r="D472" s="48" t="str">
        <f>CONCATENATE(УЧРЕЖДЕНИЯ!$A$4)</f>
        <v>Школа</v>
      </c>
      <c r="E472" s="99" t="s">
        <v>397</v>
      </c>
      <c r="F472" s="100">
        <v>345</v>
      </c>
      <c r="G472" s="100">
        <v>244</v>
      </c>
      <c r="H472" s="17" t="s">
        <v>191</v>
      </c>
      <c r="I472" s="100" t="str">
        <f>IF(OR(F472=152,F472=162,F472=510),IF((OR(LEFT(RIGHT(E472,13),1)={"A","D","E","F","G","I","L","N","P","R","S","T","V"})),"Ф",""),"")</f>
        <v/>
      </c>
    </row>
    <row r="473" spans="4:9" x14ac:dyDescent="0.3">
      <c r="D473" s="48" t="str">
        <f>CONCATENATE(УЧРЕЖДЕНИЯ!$A$4)</f>
        <v>Школа</v>
      </c>
      <c r="E473" s="99" t="s">
        <v>397</v>
      </c>
      <c r="F473" s="100">
        <v>346</v>
      </c>
      <c r="G473" s="100">
        <v>244</v>
      </c>
      <c r="H473" s="17" t="s">
        <v>191</v>
      </c>
      <c r="I473" s="100" t="str">
        <f>IF(OR(F473=152,F473=162,F473=510),IF((OR(LEFT(RIGHT(E473,13),1)={"A","D","E","F","G","I","L","N","P","R","S","T","V"})),"Ф",""),"")</f>
        <v/>
      </c>
    </row>
    <row r="474" spans="4:9" x14ac:dyDescent="0.3">
      <c r="D474" s="48" t="str">
        <f>CONCATENATE(УЧРЕЖДЕНИЯ!$A$4)</f>
        <v>Школа</v>
      </c>
      <c r="E474" s="99" t="s">
        <v>397</v>
      </c>
      <c r="F474" s="100">
        <v>349</v>
      </c>
      <c r="G474" s="100">
        <v>244</v>
      </c>
      <c r="H474" s="17" t="s">
        <v>191</v>
      </c>
      <c r="I474" s="100" t="str">
        <f>IF(OR(F474=152,F474=162,F474=510),IF((OR(LEFT(RIGHT(E474,13),1)={"A","D","E","F","G","I","L","N","P","R","S","T","V"})),"Ф",""),"")</f>
        <v/>
      </c>
    </row>
    <row r="475" spans="4:9" x14ac:dyDescent="0.3">
      <c r="D475" s="48" t="str">
        <f>CONCATENATE(УЧРЕЖДЕНИЯ!$A$4)</f>
        <v>Школа</v>
      </c>
      <c r="E475" s="99" t="s">
        <v>687</v>
      </c>
      <c r="F475" s="100">
        <v>2231</v>
      </c>
      <c r="G475" s="100">
        <v>247</v>
      </c>
      <c r="H475" s="17" t="s">
        <v>191</v>
      </c>
      <c r="I475" s="100" t="str">
        <f>IF(OR(F475=152,F475=162,F475=510),IF((OR(LEFT(RIGHT(E475,13),1)={"A","D","E","F","G","I","L","N","P","R","S","T","V"})),"Ф",""),"")</f>
        <v/>
      </c>
    </row>
    <row r="476" spans="4:9" x14ac:dyDescent="0.3">
      <c r="D476" s="48" t="str">
        <f>CONCATENATE(УЧРЕЖДЕНИЯ!$A$4)</f>
        <v>Школа</v>
      </c>
      <c r="E476" s="99" t="s">
        <v>698</v>
      </c>
      <c r="F476" s="100">
        <v>2232</v>
      </c>
      <c r="G476" s="100">
        <v>247</v>
      </c>
      <c r="H476" s="17" t="s">
        <v>191</v>
      </c>
      <c r="I476" s="100" t="str">
        <f>IF(OR(F476=152,F476=162,F476=510),IF((OR(LEFT(RIGHT(E476,13),1)={"A","D","E","F","G","I","L","N","P","R","S","T","V"})),"Ф",""),"")</f>
        <v/>
      </c>
    </row>
    <row r="477" spans="4:9" x14ac:dyDescent="0.3">
      <c r="D477" s="48" t="str">
        <f>CONCATENATE(УЧРЕЖДЕНИЯ!$A$4)</f>
        <v>Школа</v>
      </c>
      <c r="E477" s="99" t="s">
        <v>392</v>
      </c>
      <c r="F477" s="100">
        <v>510</v>
      </c>
      <c r="G477" s="100">
        <v>510</v>
      </c>
      <c r="H477" s="17" t="s">
        <v>191</v>
      </c>
      <c r="I477" s="100" t="str">
        <f>IF(OR(F477=152,F477=162,F477=510),IF((OR(LEFT(RIGHT(E477,13),1)={"A","D","E","F","G","I","L","N","P","R","S","T","V"})),"Ф",""),"")</f>
        <v/>
      </c>
    </row>
    <row r="478" spans="4:9" x14ac:dyDescent="0.3">
      <c r="D478" s="48" t="str">
        <f>CONCATENATE(УЧРЕЖДЕНИЯ!$A$4)</f>
        <v>Школа</v>
      </c>
      <c r="E478" s="99" t="s">
        <v>842</v>
      </c>
      <c r="F478" s="100">
        <v>610</v>
      </c>
      <c r="G478" s="100">
        <v>610</v>
      </c>
      <c r="H478" s="17" t="s">
        <v>191</v>
      </c>
      <c r="I478" s="100" t="str">
        <f>IF(OR(F478=152,F478=162,F478=510),IF((OR(LEFT(RIGHT(E478,13),1)={"A","D","E","F","G","I","L","N","P","R","S","T","V"})),"Ф",""),"")</f>
        <v/>
      </c>
    </row>
    <row r="479" spans="4:9" x14ac:dyDescent="0.3">
      <c r="D479" s="48" t="str">
        <f>CONCATENATE(УЧРЕЖДЕНИЯ!$A$4)</f>
        <v>Школа</v>
      </c>
      <c r="E479" s="99" t="s">
        <v>400</v>
      </c>
      <c r="F479" s="100">
        <v>293</v>
      </c>
      <c r="G479" s="100">
        <v>831</v>
      </c>
      <c r="H479" s="17" t="s">
        <v>191</v>
      </c>
      <c r="I479" s="100" t="str">
        <f>IF(OR(F479=152,F479=162,F479=510),IF((OR(LEFT(RIGHT(E479,13),1)={"A","D","E","F","G","I","L","N","P","R","S","T","V"})),"Ф",""),"")</f>
        <v/>
      </c>
    </row>
    <row r="480" spans="4:9" x14ac:dyDescent="0.3">
      <c r="D480" s="48" t="str">
        <f>CONCATENATE(УЧРЕЖДЕНИЯ!$A$4)</f>
        <v>Школа</v>
      </c>
      <c r="E480" s="99" t="s">
        <v>400</v>
      </c>
      <c r="F480" s="100">
        <v>296</v>
      </c>
      <c r="G480" s="100">
        <v>831</v>
      </c>
      <c r="H480" s="17" t="s">
        <v>191</v>
      </c>
      <c r="I480" s="100" t="str">
        <f>IF(OR(F480=152,F480=162,F480=510),IF((OR(LEFT(RIGHT(E480,13),1)={"A","D","E","F","G","I","L","N","P","R","S","T","V"})),"Ф",""),"")</f>
        <v/>
      </c>
    </row>
    <row r="481" spans="4:9" x14ac:dyDescent="0.3">
      <c r="D481" s="48" t="str">
        <f>CONCATENATE(УЧРЕЖДЕНИЯ!$A$4)</f>
        <v>Школа</v>
      </c>
      <c r="E481" s="99" t="s">
        <v>401</v>
      </c>
      <c r="F481" s="100">
        <v>291</v>
      </c>
      <c r="G481" s="100">
        <v>851</v>
      </c>
      <c r="H481" s="17" t="s">
        <v>191</v>
      </c>
      <c r="I481" s="100" t="str">
        <f>IF(OR(F481=152,F481=162,F481=510),IF((OR(LEFT(RIGHT(E481,13),1)={"A","D","E","F","G","I","L","N","P","R","S","T","V"})),"Ф",""),"")</f>
        <v/>
      </c>
    </row>
    <row r="482" spans="4:9" x14ac:dyDescent="0.3">
      <c r="D482" s="48" t="str">
        <f>CONCATENATE(УЧРЕЖДЕНИЯ!$A$4)</f>
        <v>Школа</v>
      </c>
      <c r="E482" s="99" t="s">
        <v>402</v>
      </c>
      <c r="F482" s="100">
        <v>291</v>
      </c>
      <c r="G482" s="100">
        <v>852</v>
      </c>
      <c r="H482" s="17" t="s">
        <v>191</v>
      </c>
      <c r="I482" s="100" t="str">
        <f>IF(OR(F482=152,F482=162,F482=510),IF((OR(LEFT(RIGHT(E482,13),1)={"A","D","E","F","G","I","L","N","P","R","S","T","V"})),"Ф",""),"")</f>
        <v/>
      </c>
    </row>
    <row r="483" spans="4:9" x14ac:dyDescent="0.3">
      <c r="D483" s="48" t="str">
        <f>CONCATENATE(УЧРЕЖДЕНИЯ!$A$4)</f>
        <v>Школа</v>
      </c>
      <c r="E483" s="99" t="s">
        <v>403</v>
      </c>
      <c r="F483" s="100">
        <v>291</v>
      </c>
      <c r="G483" s="100">
        <v>853</v>
      </c>
      <c r="H483" s="17" t="s">
        <v>191</v>
      </c>
      <c r="I483" s="100" t="str">
        <f>IF(OR(F483=152,F483=162,F483=510),IF((OR(LEFT(RIGHT(E483,13),1)={"A","D","E","F","G","I","L","N","P","R","S","T","V"})),"Ф",""),"")</f>
        <v/>
      </c>
    </row>
    <row r="484" spans="4:9" x14ac:dyDescent="0.3">
      <c r="D484" s="48" t="str">
        <f>CONCATENATE(УЧРЕЖДЕНИЯ!$A$4)</f>
        <v>Школа</v>
      </c>
      <c r="E484" s="99" t="s">
        <v>403</v>
      </c>
      <c r="F484" s="100">
        <v>292</v>
      </c>
      <c r="G484" s="100">
        <v>853</v>
      </c>
      <c r="H484" s="17" t="s">
        <v>191</v>
      </c>
      <c r="I484" s="100" t="str">
        <f>IF(OR(F484=152,F484=162,F484=510),IF((OR(LEFT(RIGHT(E484,13),1)={"A","D","E","F","G","I","L","N","P","R","S","T","V"})),"Ф",""),"")</f>
        <v/>
      </c>
    </row>
    <row r="485" spans="4:9" x14ac:dyDescent="0.3">
      <c r="D485" s="48" t="str">
        <f>CONCATENATE(УЧРЕЖДЕНИЯ!$A$4)</f>
        <v>Школа</v>
      </c>
      <c r="E485" s="99" t="s">
        <v>403</v>
      </c>
      <c r="F485" s="100">
        <v>293</v>
      </c>
      <c r="G485" s="100">
        <v>853</v>
      </c>
      <c r="H485" s="17" t="s">
        <v>191</v>
      </c>
      <c r="I485" s="100" t="str">
        <f>IF(OR(F485=152,F485=162,F485=510),IF((OR(LEFT(RIGHT(E485,13),1)={"A","D","E","F","G","I","L","N","P","R","S","T","V"})),"Ф",""),"")</f>
        <v/>
      </c>
    </row>
    <row r="486" spans="4:9" x14ac:dyDescent="0.3">
      <c r="D486" s="48" t="str">
        <f>CONCATENATE(УЧРЕЖДЕНИЯ!$A$4)</f>
        <v>Школа</v>
      </c>
      <c r="E486" s="99" t="s">
        <v>403</v>
      </c>
      <c r="F486" s="100">
        <v>295</v>
      </c>
      <c r="G486" s="100">
        <v>853</v>
      </c>
      <c r="H486" s="17" t="s">
        <v>191</v>
      </c>
      <c r="I486" s="100" t="str">
        <f>IF(OR(F486=152,F486=162,F486=510),IF((OR(LEFT(RIGHT(E486,13),1)={"A","D","E","F","G","I","L","N","P","R","S","T","V"})),"Ф",""),"")</f>
        <v/>
      </c>
    </row>
    <row r="487" spans="4:9" x14ac:dyDescent="0.3">
      <c r="D487" s="48" t="str">
        <f>CONCATENATE(УЧРЕЖДЕНИЯ!$A$4)</f>
        <v>Школа</v>
      </c>
      <c r="E487" s="99" t="s">
        <v>403</v>
      </c>
      <c r="F487" s="100">
        <v>297</v>
      </c>
      <c r="G487" s="100">
        <v>853</v>
      </c>
      <c r="H487" s="17" t="s">
        <v>191</v>
      </c>
      <c r="I487" s="100" t="str">
        <f>IF(OR(F487=152,F487=162,F487=510),IF((OR(LEFT(RIGHT(E487,13),1)={"A","D","E","F","G","I","L","N","P","R","S","T","V"})),"Ф",""),"")</f>
        <v/>
      </c>
    </row>
    <row r="488" spans="4:9" x14ac:dyDescent="0.3">
      <c r="D488" s="48" t="str">
        <f>CONCATENATE(УЧРЕЖДЕНИЯ!$A$4)</f>
        <v>Школа</v>
      </c>
      <c r="E488" s="99" t="s">
        <v>405</v>
      </c>
      <c r="F488" s="100">
        <v>131</v>
      </c>
      <c r="G488" s="100">
        <v>130</v>
      </c>
      <c r="H488" s="17" t="s">
        <v>191</v>
      </c>
      <c r="I488" s="100" t="str">
        <f>IF(OR(F488=152,F488=162,F488=510),IF((OR(LEFT(RIGHT(E488,13),1)={"A","D","E","F","G","I","L","N","P","R","S","T","V"})),"Ф",""),"")</f>
        <v/>
      </c>
    </row>
    <row r="489" spans="4:9" x14ac:dyDescent="0.3">
      <c r="D489" s="48" t="str">
        <f>CONCATENATE(УЧРЕЖДЕНИЯ!$A$4)</f>
        <v>Школа</v>
      </c>
      <c r="E489" s="99" t="s">
        <v>406</v>
      </c>
      <c r="F489" s="100">
        <v>211</v>
      </c>
      <c r="G489" s="100">
        <v>111</v>
      </c>
      <c r="H489" s="17" t="s">
        <v>191</v>
      </c>
      <c r="I489" s="100" t="str">
        <f>IF(OR(F489=152,F489=162,F489=510),IF((OR(LEFT(RIGHT(E489,13),1)={"A","D","E","F","G","I","L","N","P","R","S","T","V"})),"Ф",""),"")</f>
        <v/>
      </c>
    </row>
    <row r="490" spans="4:9" x14ac:dyDescent="0.3">
      <c r="D490" s="48" t="str">
        <f>CONCATENATE(УЧРЕЖДЕНИЯ!$A$4)</f>
        <v>Школа</v>
      </c>
      <c r="E490" s="99" t="s">
        <v>406</v>
      </c>
      <c r="F490" s="100">
        <v>266</v>
      </c>
      <c r="G490" s="100">
        <v>111</v>
      </c>
      <c r="H490" s="17" t="s">
        <v>191</v>
      </c>
      <c r="I490" s="100" t="str">
        <f>IF(OR(F490=152,F490=162,F490=510),IF((OR(LEFT(RIGHT(E490,13),1)={"A","D","E","F","G","I","L","N","P","R","S","T","V"})),"Ф",""),"")</f>
        <v/>
      </c>
    </row>
    <row r="491" spans="4:9" x14ac:dyDescent="0.3">
      <c r="D491" s="48" t="str">
        <f>CONCATENATE(УЧРЕЖДЕНИЯ!$A$4)</f>
        <v>Школа</v>
      </c>
      <c r="E491" s="99" t="s">
        <v>407</v>
      </c>
      <c r="F491" s="100">
        <v>212</v>
      </c>
      <c r="G491" s="100">
        <v>112</v>
      </c>
      <c r="H491" s="17" t="s">
        <v>191</v>
      </c>
      <c r="I491" s="100" t="str">
        <f>IF(OR(F491=152,F491=162,F491=510),IF((OR(LEFT(RIGHT(E491,13),1)={"A","D","E","F","G","I","L","N","P","R","S","T","V"})),"Ф",""),"")</f>
        <v/>
      </c>
    </row>
    <row r="492" spans="4:9" x14ac:dyDescent="0.3">
      <c r="D492" s="48" t="str">
        <f>CONCATENATE(УЧРЕЖДЕНИЯ!$A$4)</f>
        <v>Школа</v>
      </c>
      <c r="E492" s="99" t="s">
        <v>407</v>
      </c>
      <c r="F492" s="100">
        <v>226</v>
      </c>
      <c r="G492" s="100">
        <v>112</v>
      </c>
      <c r="H492" s="17" t="s">
        <v>191</v>
      </c>
      <c r="I492" s="100" t="str">
        <f>IF(OR(F492=152,F492=162,F492=510),IF((OR(LEFT(RIGHT(E492,13),1)={"A","D","E","F","G","I","L","N","P","R","S","T","V"})),"Ф",""),"")</f>
        <v/>
      </c>
    </row>
    <row r="493" spans="4:9" x14ac:dyDescent="0.3">
      <c r="D493" s="48" t="str">
        <f>CONCATENATE(УЧРЕЖДЕНИЯ!$A$4)</f>
        <v>Школа</v>
      </c>
      <c r="E493" s="99" t="s">
        <v>407</v>
      </c>
      <c r="F493" s="100">
        <v>266</v>
      </c>
      <c r="G493" s="100">
        <v>112</v>
      </c>
      <c r="H493" s="17" t="s">
        <v>191</v>
      </c>
      <c r="I493" s="100" t="str">
        <f>IF(OR(F493=152,F493=162,F493=510),IF((OR(LEFT(RIGHT(E493,13),1)={"A","D","E","F","G","I","L","N","P","R","S","T","V"})),"Ф",""),"")</f>
        <v/>
      </c>
    </row>
    <row r="494" spans="4:9" x14ac:dyDescent="0.3">
      <c r="D494" s="48" t="str">
        <f>CONCATENATE(УЧРЕЖДЕНИЯ!$A$4)</f>
        <v>Школа</v>
      </c>
      <c r="E494" s="99" t="s">
        <v>408</v>
      </c>
      <c r="F494" s="100">
        <v>226</v>
      </c>
      <c r="G494" s="100">
        <v>113</v>
      </c>
      <c r="H494" s="17" t="s">
        <v>191</v>
      </c>
      <c r="I494" s="100" t="str">
        <f>IF(OR(F494=152,F494=162,F494=510),IF((OR(LEFT(RIGHT(E494,13),1)={"A","D","E","F","G","I","L","N","P","R","S","T","V"})),"Ф",""),"")</f>
        <v/>
      </c>
    </row>
    <row r="495" spans="4:9" x14ac:dyDescent="0.3">
      <c r="D495" s="48" t="str">
        <f>CONCATENATE(УЧРЕЖДЕНИЯ!$A$4)</f>
        <v>Школа</v>
      </c>
      <c r="E495" s="99" t="s">
        <v>408</v>
      </c>
      <c r="F495" s="100">
        <v>296</v>
      </c>
      <c r="G495" s="100">
        <v>113</v>
      </c>
      <c r="H495" s="17" t="s">
        <v>191</v>
      </c>
      <c r="I495" s="100" t="str">
        <f>IF(OR(F495=152,F495=162,F495=510),IF((OR(LEFT(RIGHT(E495,13),1)={"A","D","E","F","G","I","L","N","P","R","S","T","V"})),"Ф",""),"")</f>
        <v/>
      </c>
    </row>
    <row r="496" spans="4:9" x14ac:dyDescent="0.3">
      <c r="D496" s="48" t="str">
        <f>CONCATENATE(УЧРЕЖДЕНИЯ!$A$4)</f>
        <v>Школа</v>
      </c>
      <c r="E496" s="99" t="s">
        <v>409</v>
      </c>
      <c r="F496" s="100">
        <v>213</v>
      </c>
      <c r="G496" s="100">
        <v>119</v>
      </c>
      <c r="H496" s="17" t="s">
        <v>191</v>
      </c>
      <c r="I496" s="100" t="str">
        <f>IF(OR(F496=152,F496=162,F496=510),IF((OR(LEFT(RIGHT(E496,13),1)={"A","D","E","F","G","I","L","N","P","R","S","T","V"})),"Ф",""),"")</f>
        <v/>
      </c>
    </row>
    <row r="497" spans="2:9" x14ac:dyDescent="0.3">
      <c r="D497" s="48" t="str">
        <f>CONCATENATE(УЧРЕЖДЕНИЯ!$A$4)</f>
        <v>Школа</v>
      </c>
      <c r="E497" s="99" t="s">
        <v>409</v>
      </c>
      <c r="F497" s="100">
        <v>267</v>
      </c>
      <c r="G497" s="100">
        <v>119</v>
      </c>
      <c r="H497" s="17" t="s">
        <v>191</v>
      </c>
      <c r="I497" s="100" t="str">
        <f>IF(OR(F497=152,F497=162,F497=510),IF((OR(LEFT(RIGHT(E497,13),1)={"A","D","E","F","G","I","L","N","P","R","S","T","V"})),"Ф",""),"")</f>
        <v/>
      </c>
    </row>
    <row r="498" spans="2:9" x14ac:dyDescent="0.3">
      <c r="D498" s="48" t="str">
        <f>CONCATENATE(УЧРЕЖДЕНИЯ!$A$4)</f>
        <v>Школа</v>
      </c>
      <c r="E498" s="99" t="s">
        <v>410</v>
      </c>
      <c r="F498" s="100">
        <v>221</v>
      </c>
      <c r="G498" s="100">
        <v>244</v>
      </c>
      <c r="H498" s="17" t="s">
        <v>191</v>
      </c>
      <c r="I498" s="100" t="str">
        <f>IF(OR(F498=152,F498=162,F498=510),IF((OR(LEFT(RIGHT(E498,13),1)={"A","D","E","F","G","I","L","N","P","R","S","T","V"})),"Ф",""),"")</f>
        <v/>
      </c>
    </row>
    <row r="499" spans="2:9" x14ac:dyDescent="0.3">
      <c r="D499" s="48" t="str">
        <f>CONCATENATE(УЧРЕЖДЕНИЯ!$A$4)</f>
        <v>Школа</v>
      </c>
      <c r="E499" s="99" t="s">
        <v>410</v>
      </c>
      <c r="F499" s="100">
        <v>222</v>
      </c>
      <c r="G499" s="100">
        <v>244</v>
      </c>
      <c r="H499" s="17" t="s">
        <v>191</v>
      </c>
      <c r="I499" s="100" t="str">
        <f>IF(OR(F499=152,F499=162,F499=510),IF((OR(LEFT(RIGHT(E499,13),1)={"A","D","E","F","G","I","L","N","P","R","S","T","V"})),"Ф",""),"")</f>
        <v/>
      </c>
    </row>
    <row r="500" spans="2:9" x14ac:dyDescent="0.3">
      <c r="D500" s="48" t="str">
        <f>CONCATENATE(УЧРЕЖДЕНИЯ!$A$4)</f>
        <v>Школа</v>
      </c>
      <c r="E500" s="99" t="s">
        <v>410</v>
      </c>
      <c r="F500" s="100">
        <v>225</v>
      </c>
      <c r="G500" s="100">
        <v>244</v>
      </c>
      <c r="H500" s="17" t="s">
        <v>191</v>
      </c>
      <c r="I500" s="100" t="str">
        <f>IF(OR(F500=152,F500=162,F500=510),IF((OR(LEFT(RIGHT(E500,13),1)={"A","D","E","F","G","I","L","N","P","R","S","T","V"})),"Ф",""),"")</f>
        <v/>
      </c>
    </row>
    <row r="501" spans="2:9" x14ac:dyDescent="0.3">
      <c r="D501" s="48" t="str">
        <f>CONCATENATE(УЧРЕЖДЕНИЯ!$A$4)</f>
        <v>Школа</v>
      </c>
      <c r="E501" s="99" t="s">
        <v>410</v>
      </c>
      <c r="F501" s="100">
        <v>226</v>
      </c>
      <c r="G501" s="100">
        <v>244</v>
      </c>
      <c r="H501" s="17" t="s">
        <v>191</v>
      </c>
      <c r="I501" s="100" t="str">
        <f>IF(OR(F501=152,F501=162,F501=510),IF((OR(LEFT(RIGHT(E501,13),1)={"A","D","E","F","G","I","L","N","P","R","S","T","V"})),"Ф",""),"")</f>
        <v/>
      </c>
    </row>
    <row r="502" spans="2:9" x14ac:dyDescent="0.3">
      <c r="D502" s="48" t="str">
        <f>CONCATENATE(УЧРЕЖДЕНИЯ!$A$4)</f>
        <v>Школа</v>
      </c>
      <c r="E502" s="99" t="s">
        <v>410</v>
      </c>
      <c r="F502" s="100">
        <v>228</v>
      </c>
      <c r="G502" s="100">
        <v>244</v>
      </c>
      <c r="H502" s="17" t="s">
        <v>191</v>
      </c>
      <c r="I502" s="100" t="str">
        <f>IF(OR(F502=152,F502=162,F502=510),IF((OR(LEFT(RIGHT(E502,13),1)={"A","D","E","F","G","I","L","N","P","R","S","T","V"})),"Ф",""),"")</f>
        <v/>
      </c>
    </row>
    <row r="503" spans="2:9" x14ac:dyDescent="0.3">
      <c r="D503" s="48" t="str">
        <f>CONCATENATE(УЧРЕЖДЕНИЯ!$A$4)</f>
        <v>Школа</v>
      </c>
      <c r="E503" s="99" t="s">
        <v>410</v>
      </c>
      <c r="F503" s="100">
        <v>296</v>
      </c>
      <c r="G503" s="100">
        <v>244</v>
      </c>
      <c r="H503" s="17" t="s">
        <v>191</v>
      </c>
      <c r="I503" s="100" t="str">
        <f>IF(OR(F503=152,F503=162,F503=510),IF((OR(LEFT(RIGHT(E503,13),1)={"A","D","E","F","G","I","L","N","P","R","S","T","V"})),"Ф",""),"")</f>
        <v/>
      </c>
    </row>
    <row r="504" spans="2:9" x14ac:dyDescent="0.3">
      <c r="D504" s="48" t="str">
        <f>CONCATENATE(УЧРЕЖДЕНИЯ!$A$4)</f>
        <v>Школа</v>
      </c>
      <c r="E504" s="99" t="s">
        <v>410</v>
      </c>
      <c r="F504" s="100">
        <v>310</v>
      </c>
      <c r="G504" s="100">
        <v>244</v>
      </c>
      <c r="H504" s="17" t="s">
        <v>191</v>
      </c>
      <c r="I504" s="100" t="str">
        <f>IF(OR(F504=152,F504=162,F504=510),IF((OR(LEFT(RIGHT(E504,13),1)={"A","D","E","F","G","I","L","N","P","R","S","T","V"})),"Ф",""),"")</f>
        <v/>
      </c>
    </row>
    <row r="505" spans="2:9" x14ac:dyDescent="0.3">
      <c r="D505" s="48" t="str">
        <f>CONCATENATE(УЧРЕЖДЕНИЯ!$A$4)</f>
        <v>Школа</v>
      </c>
      <c r="E505" s="99" t="s">
        <v>410</v>
      </c>
      <c r="F505" s="100">
        <v>346</v>
      </c>
      <c r="G505" s="100">
        <v>244</v>
      </c>
      <c r="H505" s="17" t="s">
        <v>191</v>
      </c>
      <c r="I505" s="100" t="str">
        <f>IF(OR(F505=152,F505=162,F505=510),IF((OR(LEFT(RIGHT(E505,13),1)={"A","D","E","F","G","I","L","N","P","R","S","T","V"})),"Ф",""),"")</f>
        <v/>
      </c>
    </row>
    <row r="506" spans="2:9" x14ac:dyDescent="0.3">
      <c r="D506" s="48" t="str">
        <f>CONCATENATE(УЧРЕЖДЕНИЯ!$A$4)</f>
        <v>Школа</v>
      </c>
      <c r="E506" s="99" t="s">
        <v>410</v>
      </c>
      <c r="F506" s="100">
        <v>349</v>
      </c>
      <c r="G506" s="100">
        <v>244</v>
      </c>
      <c r="H506" s="17" t="s">
        <v>191</v>
      </c>
      <c r="I506" s="100" t="str">
        <f>IF(OR(F506=152,F506=162,F506=510),IF((OR(LEFT(RIGHT(E506,13),1)={"A","D","E","F","G","I","L","N","P","R","S","T","V"})),"Ф",""),"")</f>
        <v/>
      </c>
    </row>
    <row r="507" spans="2:9" x14ac:dyDescent="0.3">
      <c r="D507" s="48" t="str">
        <f>CONCATENATE(УЧРЕЖДЕНИЯ!$A$4)</f>
        <v>Школа</v>
      </c>
      <c r="E507" s="99" t="s">
        <v>404</v>
      </c>
      <c r="F507" s="100">
        <v>510</v>
      </c>
      <c r="G507" s="100">
        <v>510</v>
      </c>
      <c r="H507" s="17" t="s">
        <v>191</v>
      </c>
      <c r="I507" s="100" t="str">
        <f>IF(OR(F507=152,F507=162,F507=510),IF((OR(LEFT(RIGHT(E507,13),1)={"A","D","E","F","G","I","L","N","P","R","S","T","V"})),"Ф",""),"")</f>
        <v/>
      </c>
    </row>
    <row r="508" spans="2:9" x14ac:dyDescent="0.3">
      <c r="D508" s="48" t="str">
        <f>CONCATENATE(УЧРЕЖДЕНИЯ!$A$4)</f>
        <v>Школа</v>
      </c>
      <c r="E508" s="99" t="s">
        <v>411</v>
      </c>
      <c r="F508" s="100">
        <v>131</v>
      </c>
      <c r="G508" s="100">
        <v>130</v>
      </c>
      <c r="H508" s="17" t="s">
        <v>191</v>
      </c>
      <c r="I508" s="100" t="str">
        <f>IF(OR(F508=152,F508=162,F508=510),IF((OR(LEFT(RIGHT(E508,13),1)={"A","D","E","F","G","I","L","N","P","R","S","T","V"})),"Ф",""),"")</f>
        <v/>
      </c>
    </row>
    <row r="509" spans="2:9" x14ac:dyDescent="0.3">
      <c r="D509" s="48" t="str">
        <f>CONCATENATE(УЧРЕЖДЕНИЯ!$A$4)</f>
        <v>Школа</v>
      </c>
      <c r="E509" s="99" t="s">
        <v>412</v>
      </c>
      <c r="F509" s="100">
        <v>211</v>
      </c>
      <c r="G509" s="100">
        <v>111</v>
      </c>
      <c r="H509" s="17" t="s">
        <v>191</v>
      </c>
      <c r="I509" s="100" t="str">
        <f>IF(OR(F509=152,F509=162,F509=510),IF((OR(LEFT(RIGHT(E509,13),1)={"A","D","E","F","G","I","L","N","P","R","S","T","V"})),"Ф",""),"")</f>
        <v/>
      </c>
    </row>
    <row r="510" spans="2:9" x14ac:dyDescent="0.3">
      <c r="D510" s="48" t="str">
        <f>CONCATENATE(УЧРЕЖДЕНИЯ!$A$4)</f>
        <v>Школа</v>
      </c>
      <c r="E510" s="99" t="s">
        <v>413</v>
      </c>
      <c r="F510" s="100">
        <v>213</v>
      </c>
      <c r="G510" s="100">
        <v>119</v>
      </c>
      <c r="H510" s="17" t="s">
        <v>191</v>
      </c>
      <c r="I510" s="100" t="str">
        <f>IF(OR(F510=152,F510=162,F510=510),IF((OR(LEFT(RIGHT(E510,13),1)={"A","D","E","F","G","I","L","N","P","R","S","T","V"})),"Ф",""),"")</f>
        <v/>
      </c>
    </row>
    <row r="511" spans="2:9" x14ac:dyDescent="0.3">
      <c r="B511" s="48" t="s">
        <v>739</v>
      </c>
      <c r="C511" s="48" t="s">
        <v>738</v>
      </c>
      <c r="D511" s="48" t="str">
        <f>CONCATENATE(УЧРЕЖДЕНИЯ!$A$5)</f>
        <v>Допобр</v>
      </c>
      <c r="E511" s="99" t="s">
        <v>415</v>
      </c>
      <c r="F511" s="100">
        <v>131</v>
      </c>
      <c r="G511" s="100">
        <v>130</v>
      </c>
      <c r="H511" s="17" t="s">
        <v>192</v>
      </c>
      <c r="I511" s="100" t="str">
        <f>IF(OR(F511=152,F511=162,F511=510),IF((OR(LEFT(RIGHT(E511,13),1)={"A","D","E","F","G","I","L","N","P","R","S","T","V"})),"Ф",""),"")</f>
        <v/>
      </c>
    </row>
    <row r="512" spans="2:9" x14ac:dyDescent="0.3">
      <c r="D512" s="48" t="str">
        <f>CONCATENATE(УЧРЕЖДЕНИЯ!$A$5)</f>
        <v>Допобр</v>
      </c>
      <c r="E512" s="99" t="s">
        <v>416</v>
      </c>
      <c r="F512" s="100">
        <v>211</v>
      </c>
      <c r="G512" s="100">
        <v>111</v>
      </c>
      <c r="H512" s="17" t="s">
        <v>192</v>
      </c>
      <c r="I512" s="100" t="str">
        <f>IF(OR(F512=152,F512=162,F512=510),IF((OR(LEFT(RIGHT(E512,13),1)={"A","D","E","F","G","I","L","N","P","R","S","T","V"})),"Ф",""),"")</f>
        <v/>
      </c>
    </row>
    <row r="513" spans="4:9" x14ac:dyDescent="0.3">
      <c r="D513" s="48" t="str">
        <f>CONCATENATE(УЧРЕЖДЕНИЯ!$A$5)</f>
        <v>Допобр</v>
      </c>
      <c r="E513" s="99" t="s">
        <v>416</v>
      </c>
      <c r="F513" s="100">
        <v>266</v>
      </c>
      <c r="G513" s="100">
        <v>111</v>
      </c>
      <c r="H513" s="17" t="s">
        <v>192</v>
      </c>
      <c r="I513" s="100" t="str">
        <f>IF(OR(F513=152,F513=162,F513=510),IF((OR(LEFT(RIGHT(E513,13),1)={"A","D","E","F","G","I","L","N","P","R","S","T","V"})),"Ф",""),"")</f>
        <v/>
      </c>
    </row>
    <row r="514" spans="4:9" x14ac:dyDescent="0.3">
      <c r="D514" s="48" t="str">
        <f>CONCATENATE(УЧРЕЖДЕНИЯ!$A$5)</f>
        <v>Допобр</v>
      </c>
      <c r="E514" s="99" t="s">
        <v>417</v>
      </c>
      <c r="F514" s="100">
        <v>212</v>
      </c>
      <c r="G514" s="100">
        <v>112</v>
      </c>
      <c r="H514" s="17" t="s">
        <v>192</v>
      </c>
      <c r="I514" s="100" t="str">
        <f>IF(OR(F514=152,F514=162,F514=510),IF((OR(LEFT(RIGHT(E514,13),1)={"A","D","E","F","G","I","L","N","P","R","S","T","V"})),"Ф",""),"")</f>
        <v/>
      </c>
    </row>
    <row r="515" spans="4:9" x14ac:dyDescent="0.3">
      <c r="D515" s="48" t="str">
        <f>CONCATENATE(УЧРЕЖДЕНИЯ!$A$5)</f>
        <v>Допобр</v>
      </c>
      <c r="E515" s="99" t="s">
        <v>417</v>
      </c>
      <c r="F515" s="100">
        <v>226</v>
      </c>
      <c r="G515" s="100">
        <v>112</v>
      </c>
      <c r="H515" s="17" t="s">
        <v>192</v>
      </c>
      <c r="I515" s="100" t="str">
        <f>IF(OR(F515=152,F515=162,F515=510),IF((OR(LEFT(RIGHT(E515,13),1)={"A","D","E","F","G","I","L","N","P","R","S","T","V"})),"Ф",""),"")</f>
        <v/>
      </c>
    </row>
    <row r="516" spans="4:9" x14ac:dyDescent="0.3">
      <c r="D516" s="48" t="str">
        <f>CONCATENATE(УЧРЕЖДЕНИЯ!$A$5)</f>
        <v>Допобр</v>
      </c>
      <c r="E516" s="99" t="s">
        <v>418</v>
      </c>
      <c r="F516" s="100">
        <v>296</v>
      </c>
      <c r="G516" s="100">
        <v>113</v>
      </c>
      <c r="H516" s="17" t="s">
        <v>192</v>
      </c>
      <c r="I516" s="100" t="str">
        <f>IF(OR(F516=152,F516=162,F516=510),IF((OR(LEFT(RIGHT(E516,13),1)={"A","D","E","F","G","I","L","N","P","R","S","T","V"})),"Ф",""),"")</f>
        <v/>
      </c>
    </row>
    <row r="517" spans="4:9" x14ac:dyDescent="0.3">
      <c r="D517" s="48" t="str">
        <f>CONCATENATE(УЧРЕЖДЕНИЯ!$A$5)</f>
        <v>Допобр</v>
      </c>
      <c r="E517" s="99" t="s">
        <v>419</v>
      </c>
      <c r="F517" s="100">
        <v>213</v>
      </c>
      <c r="G517" s="100">
        <v>119</v>
      </c>
      <c r="H517" s="17" t="s">
        <v>192</v>
      </c>
      <c r="I517" s="100" t="str">
        <f>IF(OR(F517=152,F517=162,F517=510),IF((OR(LEFT(RIGHT(E517,13),1)={"A","D","E","F","G","I","L","N","P","R","S","T","V"})),"Ф",""),"")</f>
        <v/>
      </c>
    </row>
    <row r="518" spans="4:9" x14ac:dyDescent="0.3">
      <c r="D518" s="48" t="str">
        <f>CONCATENATE(УЧРЕЖДЕНИЯ!$A$5)</f>
        <v>Допобр</v>
      </c>
      <c r="E518" s="99" t="s">
        <v>420</v>
      </c>
      <c r="F518" s="100">
        <v>221</v>
      </c>
      <c r="G518" s="100">
        <v>244</v>
      </c>
      <c r="H518" s="17" t="s">
        <v>192</v>
      </c>
      <c r="I518" s="100" t="str">
        <f>IF(OR(F518=152,F518=162,F518=510),IF((OR(LEFT(RIGHT(E518,13),1)={"A","D","E","F","G","I","L","N","P","R","S","T","V"})),"Ф",""),"")</f>
        <v/>
      </c>
    </row>
    <row r="519" spans="4:9" x14ac:dyDescent="0.3">
      <c r="D519" s="48" t="str">
        <f>CONCATENATE(УЧРЕЖДЕНИЯ!$A$5)</f>
        <v>Допобр</v>
      </c>
      <c r="E519" s="99" t="s">
        <v>420</v>
      </c>
      <c r="F519" s="100">
        <v>222</v>
      </c>
      <c r="G519" s="100">
        <v>244</v>
      </c>
      <c r="H519" s="17" t="s">
        <v>192</v>
      </c>
      <c r="I519" s="100" t="str">
        <f>IF(OR(F519=152,F519=162,F519=510),IF((OR(LEFT(RIGHT(E519,13),1)={"A","D","E","F","G","I","L","N","P","R","S","T","V"})),"Ф",""),"")</f>
        <v/>
      </c>
    </row>
    <row r="520" spans="4:9" x14ac:dyDescent="0.3">
      <c r="D520" s="48" t="str">
        <f>CONCATENATE(УЧРЕЖДЕНИЯ!$A$5)</f>
        <v>Допобр</v>
      </c>
      <c r="E520" s="99" t="s">
        <v>421</v>
      </c>
      <c r="F520" s="100">
        <v>2233</v>
      </c>
      <c r="G520" s="100">
        <v>244</v>
      </c>
      <c r="H520" s="17" t="s">
        <v>192</v>
      </c>
      <c r="I520" s="100" t="str">
        <f>IF(OR(F520=152,F520=162,F520=510),IF((OR(LEFT(RIGHT(E520,13),1)={"A","D","E","F","G","I","L","N","P","R","S","T","V"})),"Ф",""),"")</f>
        <v/>
      </c>
    </row>
    <row r="521" spans="4:9" x14ac:dyDescent="0.3">
      <c r="D521" s="48" t="str">
        <f>CONCATENATE(УЧРЕЖДЕНИЯ!$A$5)</f>
        <v>Допобр</v>
      </c>
      <c r="E521" s="99" t="s">
        <v>673</v>
      </c>
      <c r="F521" s="100">
        <v>2234</v>
      </c>
      <c r="G521" s="100">
        <v>244</v>
      </c>
      <c r="H521" s="17" t="s">
        <v>192</v>
      </c>
      <c r="I521" s="100" t="str">
        <f>IF(OR(F521=152,F521=162,F521=510),IF((OR(LEFT(RIGHT(E521,13),1)={"A","D","E","F","G","I","L","N","P","R","S","T","V"})),"Ф",""),"")</f>
        <v/>
      </c>
    </row>
    <row r="522" spans="4:9" x14ac:dyDescent="0.3">
      <c r="D522" s="48" t="str">
        <f>CONCATENATE(УЧРЕЖДЕНИЯ!$A$5)</f>
        <v>Допобр</v>
      </c>
      <c r="E522" s="99" t="s">
        <v>420</v>
      </c>
      <c r="F522" s="100">
        <v>225</v>
      </c>
      <c r="G522" s="100">
        <v>244</v>
      </c>
      <c r="H522" s="17" t="s">
        <v>192</v>
      </c>
      <c r="I522" s="100" t="str">
        <f>IF(OR(F522=152,F522=162,F522=510),IF((OR(LEFT(RIGHT(E522,13),1)={"A","D","E","F","G","I","L","N","P","R","S","T","V"})),"Ф",""),"")</f>
        <v/>
      </c>
    </row>
    <row r="523" spans="4:9" x14ac:dyDescent="0.3">
      <c r="D523" s="48" t="str">
        <f>CONCATENATE(УЧРЕЖДЕНИЯ!$A$5)</f>
        <v>Допобр</v>
      </c>
      <c r="E523" s="99" t="s">
        <v>420</v>
      </c>
      <c r="F523" s="100">
        <v>226</v>
      </c>
      <c r="G523" s="100">
        <v>244</v>
      </c>
      <c r="H523" s="17" t="s">
        <v>192</v>
      </c>
      <c r="I523" s="100" t="str">
        <f>IF(OR(F523=152,F523=162,F523=510),IF((OR(LEFT(RIGHT(E523,13),1)={"A","D","E","F","G","I","L","N","P","R","S","T","V"})),"Ф",""),"")</f>
        <v/>
      </c>
    </row>
    <row r="524" spans="4:9" x14ac:dyDescent="0.3">
      <c r="D524" s="48" t="str">
        <f>CONCATENATE(УЧРЕЖДЕНИЯ!$A$5)</f>
        <v>Допобр</v>
      </c>
      <c r="E524" s="99" t="s">
        <v>420</v>
      </c>
      <c r="F524" s="100">
        <v>228</v>
      </c>
      <c r="G524" s="100">
        <v>244</v>
      </c>
      <c r="H524" s="17" t="s">
        <v>192</v>
      </c>
      <c r="I524" s="100" t="str">
        <f>IF(OR(F524=152,F524=162,F524=510),IF((OR(LEFT(RIGHT(E524,13),1)={"A","D","E","F","G","I","L","N","P","R","S","T","V"})),"Ф",""),"")</f>
        <v/>
      </c>
    </row>
    <row r="525" spans="4:9" x14ac:dyDescent="0.3">
      <c r="D525" s="48" t="str">
        <f>CONCATENATE(УЧРЕЖДЕНИЯ!$A$5)</f>
        <v>Допобр</v>
      </c>
      <c r="E525" s="99" t="s">
        <v>420</v>
      </c>
      <c r="F525" s="100">
        <v>296</v>
      </c>
      <c r="G525" s="100">
        <v>244</v>
      </c>
      <c r="H525" s="17" t="s">
        <v>192</v>
      </c>
      <c r="I525" s="100" t="str">
        <f>IF(OR(F525=152,F525=162,F525=510),IF((OR(LEFT(RIGHT(E525,13),1)={"A","D","E","F","G","I","L","N","P","R","S","T","V"})),"Ф",""),"")</f>
        <v/>
      </c>
    </row>
    <row r="526" spans="4:9" x14ac:dyDescent="0.3">
      <c r="D526" s="48" t="str">
        <f>CONCATENATE(УЧРЕЖДЕНИЯ!$A$5)</f>
        <v>Допобр</v>
      </c>
      <c r="E526" s="99" t="s">
        <v>420</v>
      </c>
      <c r="F526" s="100">
        <v>310</v>
      </c>
      <c r="G526" s="100">
        <v>244</v>
      </c>
      <c r="H526" s="17" t="s">
        <v>192</v>
      </c>
      <c r="I526" s="100" t="str">
        <f>IF(OR(F526=152,F526=162,F526=510),IF((OR(LEFT(RIGHT(E526,13),1)={"A","D","E","F","G","I","L","N","P","R","S","T","V"})),"Ф",""),"")</f>
        <v/>
      </c>
    </row>
    <row r="527" spans="4:9" x14ac:dyDescent="0.3">
      <c r="D527" s="48" t="str">
        <f>CONCATENATE(УЧРЕЖДЕНИЯ!$A$5)</f>
        <v>Допобр</v>
      </c>
      <c r="E527" s="99" t="s">
        <v>420</v>
      </c>
      <c r="F527" s="100">
        <v>344</v>
      </c>
      <c r="G527" s="100">
        <v>244</v>
      </c>
      <c r="H527" s="17" t="s">
        <v>192</v>
      </c>
      <c r="I527" s="100" t="str">
        <f>IF(OR(F527=152,F527=162,F527=510),IF((OR(LEFT(RIGHT(E527,13),1)={"A","D","E","F","G","I","L","N","P","R","S","T","V"})),"Ф",""),"")</f>
        <v/>
      </c>
    </row>
    <row r="528" spans="4:9" x14ac:dyDescent="0.3">
      <c r="D528" s="48" t="str">
        <f>CONCATENATE(УЧРЕЖДЕНИЯ!$A$5)</f>
        <v>Допобр</v>
      </c>
      <c r="E528" s="99" t="s">
        <v>420</v>
      </c>
      <c r="F528" s="100">
        <v>345</v>
      </c>
      <c r="G528" s="100">
        <v>244</v>
      </c>
      <c r="H528" s="17" t="s">
        <v>192</v>
      </c>
      <c r="I528" s="100" t="str">
        <f>IF(OR(F528=152,F528=162,F528=510),IF((OR(LEFT(RIGHT(E528,13),1)={"A","D","E","F","G","I","L","N","P","R","S","T","V"})),"Ф",""),"")</f>
        <v/>
      </c>
    </row>
    <row r="529" spans="4:9" x14ac:dyDescent="0.3">
      <c r="D529" s="48" t="str">
        <f>CONCATENATE(УЧРЕЖДЕНИЯ!$A$5)</f>
        <v>Допобр</v>
      </c>
      <c r="E529" s="99" t="s">
        <v>420</v>
      </c>
      <c r="F529" s="100">
        <v>346</v>
      </c>
      <c r="G529" s="100">
        <v>244</v>
      </c>
      <c r="H529" s="17" t="s">
        <v>192</v>
      </c>
      <c r="I529" s="100" t="str">
        <f>IF(OR(F529=152,F529=162,F529=510),IF((OR(LEFT(RIGHT(E529,13),1)={"A","D","E","F","G","I","L","N","P","R","S","T","V"})),"Ф",""),"")</f>
        <v/>
      </c>
    </row>
    <row r="530" spans="4:9" x14ac:dyDescent="0.3">
      <c r="D530" s="48" t="str">
        <f>CONCATENATE(УЧРЕЖДЕНИЯ!$A$5)</f>
        <v>Допобр</v>
      </c>
      <c r="E530" s="99" t="s">
        <v>420</v>
      </c>
      <c r="F530" s="100">
        <v>349</v>
      </c>
      <c r="G530" s="100">
        <v>244</v>
      </c>
      <c r="H530" s="17" t="s">
        <v>192</v>
      </c>
      <c r="I530" s="100" t="str">
        <f>IF(OR(F530=152,F530=162,F530=510),IF((OR(LEFT(RIGHT(E530,13),1)={"A","D","E","F","G","I","L","N","P","R","S","T","V"})),"Ф",""),"")</f>
        <v/>
      </c>
    </row>
    <row r="531" spans="4:9" x14ac:dyDescent="0.3">
      <c r="D531" s="48" t="str">
        <f>CONCATENATE(УЧРЕЖДЕНИЯ!$A$5)</f>
        <v>Допобр</v>
      </c>
      <c r="E531" s="99" t="s">
        <v>688</v>
      </c>
      <c r="F531" s="100">
        <v>2231</v>
      </c>
      <c r="G531" s="100">
        <v>247</v>
      </c>
      <c r="H531" s="17" t="s">
        <v>192</v>
      </c>
      <c r="I531" s="100" t="str">
        <f>IF(OR(F531=152,F531=162,F531=510),IF((OR(LEFT(RIGHT(E531,13),1)={"A","D","E","F","G","I","L","N","P","R","S","T","V"})),"Ф",""),"")</f>
        <v/>
      </c>
    </row>
    <row r="532" spans="4:9" x14ac:dyDescent="0.3">
      <c r="D532" s="48" t="str">
        <f>CONCATENATE(УЧРЕЖДЕНИЯ!$A$5)</f>
        <v>Допобр</v>
      </c>
      <c r="E532" s="99" t="s">
        <v>699</v>
      </c>
      <c r="F532" s="100">
        <v>2232</v>
      </c>
      <c r="G532" s="100">
        <v>247</v>
      </c>
      <c r="H532" s="17" t="s">
        <v>192</v>
      </c>
      <c r="I532" s="100" t="str">
        <f>IF(OR(F532=152,F532=162,F532=510),IF((OR(LEFT(RIGHT(E532,13),1)={"A","D","E","F","G","I","L","N","P","R","S","T","V"})),"Ф",""),"")</f>
        <v/>
      </c>
    </row>
    <row r="533" spans="4:9" x14ac:dyDescent="0.3">
      <c r="D533" s="48" t="str">
        <f>CONCATENATE(УЧРЕЖДЕНИЯ!$A$5)</f>
        <v>Допобр</v>
      </c>
      <c r="E533" s="99" t="s">
        <v>414</v>
      </c>
      <c r="F533" s="100">
        <v>510</v>
      </c>
      <c r="G533" s="100">
        <v>510</v>
      </c>
      <c r="H533" s="17" t="s">
        <v>192</v>
      </c>
      <c r="I533" s="100" t="str">
        <f>IF(OR(F533=152,F533=162,F533=510),IF((OR(LEFT(RIGHT(E533,13),1)={"A","D","E","F","G","I","L","N","P","R","S","T","V"})),"Ф",""),"")</f>
        <v/>
      </c>
    </row>
    <row r="534" spans="4:9" x14ac:dyDescent="0.3">
      <c r="D534" s="48" t="str">
        <f>CONCATENATE(УЧРЕЖДЕНИЯ!$A$5)</f>
        <v>Допобр</v>
      </c>
      <c r="E534" s="99" t="s">
        <v>843</v>
      </c>
      <c r="F534" s="100">
        <v>610</v>
      </c>
      <c r="G534" s="100">
        <v>610</v>
      </c>
      <c r="H534" s="17" t="s">
        <v>192</v>
      </c>
      <c r="I534" s="100" t="str">
        <f>IF(OR(F534=152,F534=162,F534=510),IF((OR(LEFT(RIGHT(E534,13),1)={"A","D","E","F","G","I","L","N","P","R","S","T","V"})),"Ф",""),"")</f>
        <v/>
      </c>
    </row>
    <row r="535" spans="4:9" x14ac:dyDescent="0.3">
      <c r="D535" s="48" t="str">
        <f>CONCATENATE(УЧРЕЖДЕНИЯ!$A$5)</f>
        <v>Допобр</v>
      </c>
      <c r="E535" s="99" t="s">
        <v>422</v>
      </c>
      <c r="F535" s="100">
        <v>291</v>
      </c>
      <c r="G535" s="100">
        <v>851</v>
      </c>
      <c r="H535" s="17" t="s">
        <v>192</v>
      </c>
      <c r="I535" s="100" t="str">
        <f>IF(OR(F535=152,F535=162,F535=510),IF((OR(LEFT(RIGHT(E535,13),1)={"A","D","E","F","G","I","L","N","P","R","S","T","V"})),"Ф",""),"")</f>
        <v/>
      </c>
    </row>
    <row r="536" spans="4:9" x14ac:dyDescent="0.3">
      <c r="D536" s="48" t="str">
        <f>CONCATENATE(УЧРЕЖДЕНИЯ!$A$5)</f>
        <v>Допобр</v>
      </c>
      <c r="E536" s="99" t="s">
        <v>423</v>
      </c>
      <c r="F536" s="100">
        <v>291</v>
      </c>
      <c r="G536" s="100">
        <v>852</v>
      </c>
      <c r="H536" s="17" t="s">
        <v>192</v>
      </c>
      <c r="I536" s="100" t="str">
        <f>IF(OR(F536=152,F536=162,F536=510),IF((OR(LEFT(RIGHT(E536,13),1)={"A","D","E","F","G","I","L","N","P","R","S","T","V"})),"Ф",""),"")</f>
        <v/>
      </c>
    </row>
    <row r="537" spans="4:9" x14ac:dyDescent="0.3">
      <c r="D537" s="48" t="str">
        <f>CONCATENATE(УЧРЕЖДЕНИЯ!$A$5)</f>
        <v>Допобр</v>
      </c>
      <c r="E537" s="99" t="s">
        <v>424</v>
      </c>
      <c r="F537" s="100">
        <v>291</v>
      </c>
      <c r="G537" s="100">
        <v>853</v>
      </c>
      <c r="H537" s="17" t="s">
        <v>192</v>
      </c>
      <c r="I537" s="100" t="str">
        <f>IF(OR(F537=152,F537=162,F537=510),IF((OR(LEFT(RIGHT(E537,13),1)={"A","D","E","F","G","I","L","N","P","R","S","T","V"})),"Ф",""),"")</f>
        <v/>
      </c>
    </row>
    <row r="538" spans="4:9" x14ac:dyDescent="0.3">
      <c r="D538" s="48" t="str">
        <f>CONCATENATE(УЧРЕЖДЕНИЯ!$A$5)</f>
        <v>Допобр</v>
      </c>
      <c r="E538" s="99" t="s">
        <v>424</v>
      </c>
      <c r="F538" s="100">
        <v>292</v>
      </c>
      <c r="G538" s="100">
        <v>853</v>
      </c>
      <c r="H538" s="17" t="s">
        <v>192</v>
      </c>
      <c r="I538" s="100" t="str">
        <f>IF(OR(F538=152,F538=162,F538=510),IF((OR(LEFT(RIGHT(E538,13),1)={"A","D","E","F","G","I","L","N","P","R","S","T","V"})),"Ф",""),"")</f>
        <v/>
      </c>
    </row>
    <row r="539" spans="4:9" x14ac:dyDescent="0.3">
      <c r="D539" s="48" t="str">
        <f>CONCATENATE(УЧРЕЖДЕНИЯ!$A$5)</f>
        <v>Допобр</v>
      </c>
      <c r="E539" s="99" t="s">
        <v>424</v>
      </c>
      <c r="F539" s="100">
        <v>293</v>
      </c>
      <c r="G539" s="100">
        <v>853</v>
      </c>
      <c r="H539" s="17" t="s">
        <v>192</v>
      </c>
      <c r="I539" s="100" t="str">
        <f>IF(OR(F539=152,F539=162,F539=510),IF((OR(LEFT(RIGHT(E539,13),1)={"A","D","E","F","G","I","L","N","P","R","S","T","V"})),"Ф",""),"")</f>
        <v/>
      </c>
    </row>
    <row r="540" spans="4:9" x14ac:dyDescent="0.3">
      <c r="D540" s="48" t="str">
        <f>CONCATENATE(УЧРЕЖДЕНИЯ!$A$5)</f>
        <v>Допобр</v>
      </c>
      <c r="E540" s="99" t="s">
        <v>426</v>
      </c>
      <c r="F540" s="100">
        <v>131</v>
      </c>
      <c r="G540" s="100">
        <v>130</v>
      </c>
      <c r="H540" s="17" t="s">
        <v>192</v>
      </c>
      <c r="I540" s="100" t="str">
        <f>IF(OR(F540=152,F540=162,F540=510),IF((OR(LEFT(RIGHT(E540,13),1)={"A","D","E","F","G","I","L","N","P","R","S","T","V"})),"Ф",""),"")</f>
        <v/>
      </c>
    </row>
    <row r="541" spans="4:9" x14ac:dyDescent="0.3">
      <c r="D541" s="48" t="str">
        <f>CONCATENATE(УЧРЕЖДЕНИЯ!$A$5)</f>
        <v>Допобр</v>
      </c>
      <c r="E541" s="99" t="s">
        <v>427</v>
      </c>
      <c r="F541" s="100">
        <v>211</v>
      </c>
      <c r="G541" s="100">
        <v>111</v>
      </c>
      <c r="H541" s="17" t="s">
        <v>192</v>
      </c>
      <c r="I541" s="100" t="str">
        <f>IF(OR(F541=152,F541=162,F541=510),IF((OR(LEFT(RIGHT(E541,13),1)={"A","D","E","F","G","I","L","N","P","R","S","T","V"})),"Ф",""),"")</f>
        <v/>
      </c>
    </row>
    <row r="542" spans="4:9" x14ac:dyDescent="0.3">
      <c r="D542" s="48" t="str">
        <f>CONCATENATE(УЧРЕЖДЕНИЯ!$A$5)</f>
        <v>Допобр</v>
      </c>
      <c r="E542" s="99" t="s">
        <v>428</v>
      </c>
      <c r="F542" s="100">
        <v>213</v>
      </c>
      <c r="G542" s="100">
        <v>119</v>
      </c>
      <c r="H542" s="17" t="s">
        <v>192</v>
      </c>
      <c r="I542" s="100" t="str">
        <f>IF(OR(F542=152,F542=162,F542=510),IF((OR(LEFT(RIGHT(E542,13),1)={"A","D","E","F","G","I","L","N","P","R","S","T","V"})),"Ф",""),"")</f>
        <v/>
      </c>
    </row>
    <row r="543" spans="4:9" x14ac:dyDescent="0.3">
      <c r="D543" s="48" t="str">
        <f>CONCATENATE(УЧРЕЖДЕНИЯ!$A$5)</f>
        <v>Допобр</v>
      </c>
      <c r="E543" s="99" t="s">
        <v>425</v>
      </c>
      <c r="F543" s="100">
        <v>510</v>
      </c>
      <c r="G543" s="100">
        <v>510</v>
      </c>
      <c r="H543" s="17" t="s">
        <v>192</v>
      </c>
      <c r="I543" s="100" t="str">
        <f>IF(OR(F543=152,F543=162,F543=510),IF((OR(LEFT(RIGHT(E543,13),1)={"A","D","E","F","G","I","L","N","P","R","S","T","V"})),"Ф",""),"")</f>
        <v/>
      </c>
    </row>
    <row r="544" spans="4:9" x14ac:dyDescent="0.3">
      <c r="D544" s="48" t="str">
        <f>CONCATENATE(УЧРЕЖДЕНИЯ!$A$5)</f>
        <v>Допобр</v>
      </c>
      <c r="E544" s="99" t="s">
        <v>429</v>
      </c>
      <c r="F544" s="100">
        <v>131</v>
      </c>
      <c r="G544" s="100">
        <v>130</v>
      </c>
      <c r="H544" s="17" t="s">
        <v>192</v>
      </c>
      <c r="I544" s="100" t="str">
        <f>IF(OR(F544=152,F544=162,F544=510),IF((OR(LEFT(RIGHT(E544,13),1)={"A","D","E","F","G","I","L","N","P","R","S","T","V"})),"Ф",""),"")</f>
        <v/>
      </c>
    </row>
    <row r="545" spans="2:9" x14ac:dyDescent="0.3">
      <c r="D545" s="48" t="str">
        <f>CONCATENATE(УЧРЕЖДЕНИЯ!$A$5)</f>
        <v>Допобр</v>
      </c>
      <c r="E545" s="99" t="s">
        <v>430</v>
      </c>
      <c r="F545" s="100">
        <v>211</v>
      </c>
      <c r="G545" s="100">
        <v>111</v>
      </c>
      <c r="H545" s="17" t="s">
        <v>192</v>
      </c>
      <c r="I545" s="100" t="str">
        <f>IF(OR(F545=152,F545=162,F545=510),IF((OR(LEFT(RIGHT(E545,13),1)={"A","D","E","F","G","I","L","N","P","R","S","T","V"})),"Ф",""),"")</f>
        <v/>
      </c>
    </row>
    <row r="546" spans="2:9" x14ac:dyDescent="0.3">
      <c r="D546" s="48" t="str">
        <f>CONCATENATE(УЧРЕЖДЕНИЯ!$A$5)</f>
        <v>Допобр</v>
      </c>
      <c r="E546" s="99" t="s">
        <v>431</v>
      </c>
      <c r="F546" s="100">
        <v>213</v>
      </c>
      <c r="G546" s="100">
        <v>119</v>
      </c>
      <c r="H546" s="17" t="s">
        <v>192</v>
      </c>
      <c r="I546" s="100" t="str">
        <f>IF(OR(F546=152,F546=162,F546=510),IF((OR(LEFT(RIGHT(E546,13),1)={"A","D","E","F","G","I","L","N","P","R","S","T","V"})),"Ф",""),"")</f>
        <v/>
      </c>
    </row>
    <row r="547" spans="2:9" x14ac:dyDescent="0.3">
      <c r="D547" s="48" t="str">
        <f>CONCATENATE(УЧРЕЖДЕНИЯ!$A$5)</f>
        <v>Допобр</v>
      </c>
      <c r="E547" s="99" t="s">
        <v>432</v>
      </c>
      <c r="F547" s="100">
        <v>310</v>
      </c>
      <c r="G547" s="100">
        <v>244</v>
      </c>
      <c r="H547" s="17" t="s">
        <v>192</v>
      </c>
      <c r="I547" s="100" t="str">
        <f>IF(OR(F547=152,F547=162,F547=510),IF((OR(LEFT(RIGHT(E547,13),1)={"A","D","E","F","G","I","L","N","P","R","S","T","V"})),"Ф",""),"")</f>
        <v/>
      </c>
    </row>
    <row r="548" spans="2:9" x14ac:dyDescent="0.3">
      <c r="D548" s="48" t="str">
        <f>CONCATENATE(УЧРЕЖДЕНИЯ!$A$5)</f>
        <v>Допобр</v>
      </c>
      <c r="E548" s="99" t="s">
        <v>835</v>
      </c>
      <c r="F548" s="100">
        <v>510</v>
      </c>
      <c r="G548" s="100">
        <v>510</v>
      </c>
      <c r="H548" s="17" t="s">
        <v>192</v>
      </c>
      <c r="I548" s="100" t="str">
        <f>IF(OR(F548=152,F548=162,F548=510),IF((OR(LEFT(RIGHT(E548,13),1)={"A","D","E","F","G","I","L","N","P","R","S","T","V"})),"Ф",""),"")</f>
        <v/>
      </c>
    </row>
    <row r="549" spans="2:9" x14ac:dyDescent="0.3">
      <c r="D549" s="48" t="str">
        <f>CONCATENATE(УЧРЕЖДЕНИЯ!$A$5)</f>
        <v>Допобр</v>
      </c>
      <c r="E549" s="99" t="s">
        <v>852</v>
      </c>
      <c r="F549" s="100">
        <v>610</v>
      </c>
      <c r="G549" s="100">
        <v>610</v>
      </c>
      <c r="H549" s="17" t="s">
        <v>192</v>
      </c>
      <c r="I549" s="100" t="str">
        <f>IF(OR(F549=152,F549=162,F549=510),IF((OR(LEFT(RIGHT(E549,13),1)={"A","D","E","F","G","I","L","N","P","R","S","T","V"})),"Ф",""),"")</f>
        <v/>
      </c>
    </row>
    <row r="550" spans="2:9" x14ac:dyDescent="0.3">
      <c r="B550" s="48" t="s">
        <v>739</v>
      </c>
      <c r="C550" s="48" t="s">
        <v>137</v>
      </c>
      <c r="D550" s="48" t="str">
        <f>CONCATENATE(УЧРЕЖДЕНИЯ!$A$6)</f>
        <v>благоустройство</v>
      </c>
      <c r="E550" s="99" t="s">
        <v>436</v>
      </c>
      <c r="F550" s="100">
        <v>131</v>
      </c>
      <c r="G550" s="100">
        <v>130</v>
      </c>
      <c r="H550" s="17" t="s">
        <v>193</v>
      </c>
      <c r="I550" s="100" t="str">
        <f>IF(OR(F550=152,F550=162,F550=510),IF((OR(LEFT(RIGHT(E550,13),1)={"A","D","E","F","G","I","L","N","P","R","S","T","V"})),"Ф",""),"")</f>
        <v/>
      </c>
    </row>
    <row r="551" spans="2:9" x14ac:dyDescent="0.3">
      <c r="D551" s="48" t="str">
        <f>CONCATENATE(УЧРЕЖДЕНИЯ!$A$6)</f>
        <v>благоустройство</v>
      </c>
      <c r="E551" s="99" t="s">
        <v>437</v>
      </c>
      <c r="F551" s="100">
        <v>211</v>
      </c>
      <c r="G551" s="100">
        <v>111</v>
      </c>
      <c r="H551" s="17" t="s">
        <v>193</v>
      </c>
      <c r="I551" s="100" t="str">
        <f>IF(OR(F551=152,F551=162,F551=510),IF((OR(LEFT(RIGHT(E551,13),1)={"A","D","E","F","G","I","L","N","P","R","S","T","V"})),"Ф",""),"")</f>
        <v/>
      </c>
    </row>
    <row r="552" spans="2:9" x14ac:dyDescent="0.3">
      <c r="D552" s="48" t="str">
        <f>CONCATENATE(УЧРЕЖДЕНИЯ!$A$6)</f>
        <v>благоустройство</v>
      </c>
      <c r="E552" s="99" t="s">
        <v>438</v>
      </c>
      <c r="F552" s="100">
        <v>213</v>
      </c>
      <c r="G552" s="100">
        <v>119</v>
      </c>
      <c r="H552" s="17" t="s">
        <v>193</v>
      </c>
      <c r="I552" s="100" t="str">
        <f>IF(OR(F552=152,F552=162,F552=510),IF((OR(LEFT(RIGHT(E552,13),1)={"A","D","E","F","G","I","L","N","P","R","S","T","V"})),"Ф",""),"")</f>
        <v/>
      </c>
    </row>
    <row r="553" spans="2:9" x14ac:dyDescent="0.3">
      <c r="D553" s="48" t="str">
        <f>CONCATENATE(УЧРЕЖДЕНИЯ!$A$6)</f>
        <v>благоустройство</v>
      </c>
      <c r="E553" s="99" t="s">
        <v>439</v>
      </c>
      <c r="F553" s="100">
        <v>225</v>
      </c>
      <c r="G553" s="100">
        <v>244</v>
      </c>
      <c r="H553" s="17" t="s">
        <v>193</v>
      </c>
      <c r="I553" s="100" t="str">
        <f>IF(OR(F553=152,F553=162,F553=510),IF((OR(LEFT(RIGHT(E553,13),1)={"A","D","E","F","G","I","L","N","P","R","S","T","V"})),"Ф",""),"")</f>
        <v/>
      </c>
    </row>
    <row r="554" spans="2:9" x14ac:dyDescent="0.3">
      <c r="D554" s="48" t="str">
        <f>CONCATENATE(УЧРЕЖДЕНИЯ!$A$6)</f>
        <v>благоустройство</v>
      </c>
      <c r="E554" s="99" t="s">
        <v>439</v>
      </c>
      <c r="F554" s="100">
        <v>226</v>
      </c>
      <c r="G554" s="100">
        <v>244</v>
      </c>
      <c r="H554" s="17" t="s">
        <v>193</v>
      </c>
      <c r="I554" s="100" t="str">
        <f>IF(OR(F554=152,F554=162,F554=510),IF((OR(LEFT(RIGHT(E554,13),1)={"A","D","E","F","G","I","L","N","P","R","S","T","V"})),"Ф",""),"")</f>
        <v/>
      </c>
    </row>
    <row r="555" spans="2:9" x14ac:dyDescent="0.3">
      <c r="D555" s="48" t="str">
        <f>CONCATENATE(УЧРЕЖДЕНИЯ!$A$6)</f>
        <v>благоустройство</v>
      </c>
      <c r="E555" s="99" t="s">
        <v>439</v>
      </c>
      <c r="F555" s="100">
        <v>310</v>
      </c>
      <c r="G555" s="100">
        <v>244</v>
      </c>
      <c r="H555" s="17" t="s">
        <v>193</v>
      </c>
      <c r="I555" s="100" t="str">
        <f>IF(OR(F555=152,F555=162,F555=510),IF((OR(LEFT(RIGHT(E555,13),1)={"A","D","E","F","G","I","L","N","P","R","S","T","V"})),"Ф",""),"")</f>
        <v/>
      </c>
    </row>
    <row r="556" spans="2:9" x14ac:dyDescent="0.3">
      <c r="D556" s="48" t="str">
        <f>CONCATENATE(УЧРЕЖДЕНИЯ!$A$6)</f>
        <v>благоустройство</v>
      </c>
      <c r="E556" s="99" t="s">
        <v>439</v>
      </c>
      <c r="F556" s="100">
        <v>343</v>
      </c>
      <c r="G556" s="100">
        <v>244</v>
      </c>
      <c r="H556" s="17" t="s">
        <v>193</v>
      </c>
      <c r="I556" s="100" t="str">
        <f>IF(OR(F556=152,F556=162,F556=510),IF((OR(LEFT(RIGHT(E556,13),1)={"A","D","E","F","G","I","L","N","P","R","S","T","V"})),"Ф",""),"")</f>
        <v/>
      </c>
    </row>
    <row r="557" spans="2:9" x14ac:dyDescent="0.3">
      <c r="D557" s="48" t="str">
        <f>CONCATENATE(УЧРЕЖДЕНИЯ!$A$6)</f>
        <v>благоустройство</v>
      </c>
      <c r="E557" s="99" t="s">
        <v>439</v>
      </c>
      <c r="F557" s="100">
        <v>346</v>
      </c>
      <c r="G557" s="100">
        <v>244</v>
      </c>
      <c r="H557" s="17" t="s">
        <v>193</v>
      </c>
      <c r="I557" s="100" t="str">
        <f>IF(OR(F557=152,F557=162,F557=510),IF((OR(LEFT(RIGHT(E557,13),1)={"A","D","E","F","G","I","L","N","P","R","S","T","V"})),"Ф",""),"")</f>
        <v/>
      </c>
    </row>
    <row r="558" spans="2:9" x14ac:dyDescent="0.3">
      <c r="D558" s="48" t="str">
        <f>CONCATENATE(УЧРЕЖДЕНИЯ!$A$6)</f>
        <v>благоустройство</v>
      </c>
      <c r="E558" s="99" t="s">
        <v>435</v>
      </c>
      <c r="F558" s="100">
        <v>510</v>
      </c>
      <c r="G558" s="100">
        <v>510</v>
      </c>
      <c r="H558" s="17" t="s">
        <v>193</v>
      </c>
      <c r="I558" s="100" t="str">
        <f>IF(OR(F558=152,F558=162,F558=510),IF((OR(LEFT(RIGHT(E558,13),1)={"A","D","E","F","G","I","L","N","P","R","S","T","V"})),"Ф",""),"")</f>
        <v/>
      </c>
    </row>
    <row r="559" spans="2:9" x14ac:dyDescent="0.3">
      <c r="D559" s="48" t="str">
        <f>CONCATENATE(УЧРЕЖДЕНИЯ!$A$6)</f>
        <v>благоустройство</v>
      </c>
      <c r="E559" s="99" t="s">
        <v>441</v>
      </c>
      <c r="F559" s="100">
        <v>131</v>
      </c>
      <c r="G559" s="100">
        <v>130</v>
      </c>
      <c r="H559" s="17" t="s">
        <v>194</v>
      </c>
      <c r="I559" s="100" t="str">
        <f>IF(OR(F559=152,F559=162,F559=510),IF((OR(LEFT(RIGHT(E559,13),1)={"A","D","E","F","G","I","L","N","P","R","S","T","V"})),"Ф",""),"")</f>
        <v/>
      </c>
    </row>
    <row r="560" spans="2:9" x14ac:dyDescent="0.3">
      <c r="D560" s="48" t="str">
        <f>CONCATENATE(УЧРЕЖДЕНИЯ!$A$6)</f>
        <v>благоустройство</v>
      </c>
      <c r="E560" s="99" t="s">
        <v>442</v>
      </c>
      <c r="F560" s="100">
        <v>211</v>
      </c>
      <c r="G560" s="100">
        <v>111</v>
      </c>
      <c r="H560" s="17" t="s">
        <v>194</v>
      </c>
      <c r="I560" s="100" t="str">
        <f>IF(OR(F560=152,F560=162,F560=510),IF((OR(LEFT(RIGHT(E560,13),1)={"A","D","E","F","G","I","L","N","P","R","S","T","V"})),"Ф",""),"")</f>
        <v/>
      </c>
    </row>
    <row r="561" spans="4:9" x14ac:dyDescent="0.3">
      <c r="D561" s="48" t="str">
        <f>CONCATENATE(УЧРЕЖДЕНИЯ!$A$6)</f>
        <v>благоустройство</v>
      </c>
      <c r="E561" s="99" t="s">
        <v>443</v>
      </c>
      <c r="F561" s="100">
        <v>213</v>
      </c>
      <c r="G561" s="100">
        <v>119</v>
      </c>
      <c r="H561" s="17" t="s">
        <v>194</v>
      </c>
      <c r="I561" s="100" t="str">
        <f>IF(OR(F561=152,F561=162,F561=510),IF((OR(LEFT(RIGHT(E561,13),1)={"A","D","E","F","G","I","L","N","P","R","S","T","V"})),"Ф",""),"")</f>
        <v/>
      </c>
    </row>
    <row r="562" spans="4:9" x14ac:dyDescent="0.3">
      <c r="D562" s="48" t="str">
        <f>CONCATENATE(УЧРЕЖДЕНИЯ!$A$6)</f>
        <v>благоустройство</v>
      </c>
      <c r="E562" s="99" t="s">
        <v>444</v>
      </c>
      <c r="F562" s="100">
        <v>225</v>
      </c>
      <c r="G562" s="100">
        <v>244</v>
      </c>
      <c r="H562" s="17" t="s">
        <v>194</v>
      </c>
      <c r="I562" s="100" t="str">
        <f>IF(OR(F562=152,F562=162,F562=510),IF((OR(LEFT(RIGHT(E562,13),1)={"A","D","E","F","G","I","L","N","P","R","S","T","V"})),"Ф",""),"")</f>
        <v/>
      </c>
    </row>
    <row r="563" spans="4:9" x14ac:dyDescent="0.3">
      <c r="D563" s="48" t="str">
        <f>CONCATENATE(УЧРЕЖДЕНИЯ!$A$6)</f>
        <v>благоустройство</v>
      </c>
      <c r="E563" s="99" t="s">
        <v>444</v>
      </c>
      <c r="F563" s="100">
        <v>226</v>
      </c>
      <c r="G563" s="100">
        <v>244</v>
      </c>
      <c r="H563" s="17" t="s">
        <v>194</v>
      </c>
      <c r="I563" s="100" t="str">
        <f>IF(OR(F563=152,F563=162,F563=510),IF((OR(LEFT(RIGHT(E563,13),1)={"A","D","E","F","G","I","L","N","P","R","S","T","V"})),"Ф",""),"")</f>
        <v/>
      </c>
    </row>
    <row r="564" spans="4:9" x14ac:dyDescent="0.3">
      <c r="D564" s="48" t="str">
        <f>CONCATENATE(УЧРЕЖДЕНИЯ!$A$6)</f>
        <v>благоустройство</v>
      </c>
      <c r="E564" s="99" t="s">
        <v>444</v>
      </c>
      <c r="F564" s="100">
        <v>310</v>
      </c>
      <c r="G564" s="100">
        <v>244</v>
      </c>
      <c r="H564" s="17" t="s">
        <v>194</v>
      </c>
      <c r="I564" s="100" t="str">
        <f>IF(OR(F564=152,F564=162,F564=510),IF((OR(LEFT(RIGHT(E564,13),1)={"A","D","E","F","G","I","L","N","P","R","S","T","V"})),"Ф",""),"")</f>
        <v/>
      </c>
    </row>
    <row r="565" spans="4:9" x14ac:dyDescent="0.3">
      <c r="D565" s="48" t="str">
        <f>CONCATENATE(УЧРЕЖДЕНИЯ!$A$6)</f>
        <v>благоустройство</v>
      </c>
      <c r="E565" s="99" t="s">
        <v>444</v>
      </c>
      <c r="F565" s="100">
        <v>343</v>
      </c>
      <c r="G565" s="100">
        <v>244</v>
      </c>
      <c r="H565" s="17" t="s">
        <v>194</v>
      </c>
      <c r="I565" s="100" t="str">
        <f>IF(OR(F565=152,F565=162,F565=510),IF((OR(LEFT(RIGHT(E565,13),1)={"A","D","E","F","G","I","L","N","P","R","S","T","V"})),"Ф",""),"")</f>
        <v/>
      </c>
    </row>
    <row r="566" spans="4:9" x14ac:dyDescent="0.3">
      <c r="D566" s="48" t="str">
        <f>CONCATENATE(УЧРЕЖДЕНИЯ!$A$6)</f>
        <v>благоустройство</v>
      </c>
      <c r="E566" s="99" t="s">
        <v>444</v>
      </c>
      <c r="F566" s="100">
        <v>346</v>
      </c>
      <c r="G566" s="100">
        <v>244</v>
      </c>
      <c r="H566" s="17" t="s">
        <v>194</v>
      </c>
      <c r="I566" s="100" t="str">
        <f>IF(OR(F566=152,F566=162,F566=510),IF((OR(LEFT(RIGHT(E566,13),1)={"A","D","E","F","G","I","L","N","P","R","S","T","V"})),"Ф",""),"")</f>
        <v/>
      </c>
    </row>
    <row r="567" spans="4:9" x14ac:dyDescent="0.3">
      <c r="D567" s="48" t="str">
        <f>CONCATENATE(УЧРЕЖДЕНИЯ!$A$6)</f>
        <v>благоустройство</v>
      </c>
      <c r="E567" s="99" t="s">
        <v>440</v>
      </c>
      <c r="F567" s="100">
        <v>510</v>
      </c>
      <c r="G567" s="100">
        <v>510</v>
      </c>
      <c r="H567" s="17" t="s">
        <v>194</v>
      </c>
      <c r="I567" s="100" t="str">
        <f>IF(OR(F567=152,F567=162,F567=510),IF((OR(LEFT(RIGHT(E567,13),1)={"A","D","E","F","G","I","L","N","P","R","S","T","V"})),"Ф",""),"")</f>
        <v/>
      </c>
    </row>
    <row r="568" spans="4:9" x14ac:dyDescent="0.3">
      <c r="D568" s="48" t="str">
        <f>CONCATENATE(УЧРЕЖДЕНИЯ!$A$6)</f>
        <v>благоустройство</v>
      </c>
      <c r="E568" s="99" t="s">
        <v>446</v>
      </c>
      <c r="F568" s="100">
        <v>131</v>
      </c>
      <c r="G568" s="100">
        <v>130</v>
      </c>
      <c r="H568" s="17" t="s">
        <v>193</v>
      </c>
      <c r="I568" s="100" t="str">
        <f>IF(OR(F568=152,F568=162,F568=510),IF((OR(LEFT(RIGHT(E568,13),1)={"A","D","E","F","G","I","L","N","P","R","S","T","V"})),"Ф",""),"")</f>
        <v/>
      </c>
    </row>
    <row r="569" spans="4:9" x14ac:dyDescent="0.3">
      <c r="D569" s="48" t="str">
        <f>CONCATENATE(УЧРЕЖДЕНИЯ!$A$6)</f>
        <v>благоустройство</v>
      </c>
      <c r="E569" s="99" t="s">
        <v>447</v>
      </c>
      <c r="F569" s="100">
        <v>211</v>
      </c>
      <c r="G569" s="100">
        <v>111</v>
      </c>
      <c r="H569" s="17" t="s">
        <v>193</v>
      </c>
      <c r="I569" s="100" t="str">
        <f>IF(OR(F569=152,F569=162,F569=510),IF((OR(LEFT(RIGHT(E569,13),1)={"A","D","E","F","G","I","L","N","P","R","S","T","V"})),"Ф",""),"")</f>
        <v/>
      </c>
    </row>
    <row r="570" spans="4:9" x14ac:dyDescent="0.3">
      <c r="D570" s="48" t="str">
        <f>CONCATENATE(УЧРЕЖДЕНИЯ!$A$6)</f>
        <v>благоустройство</v>
      </c>
      <c r="E570" s="99" t="s">
        <v>448</v>
      </c>
      <c r="F570" s="100">
        <v>213</v>
      </c>
      <c r="G570" s="100">
        <v>119</v>
      </c>
      <c r="H570" s="17" t="s">
        <v>193</v>
      </c>
      <c r="I570" s="100" t="str">
        <f>IF(OR(F570=152,F570=162,F570=510),IF((OR(LEFT(RIGHT(E570,13),1)={"A","D","E","F","G","I","L","N","P","R","S","T","V"})),"Ф",""),"")</f>
        <v/>
      </c>
    </row>
    <row r="571" spans="4:9" x14ac:dyDescent="0.3">
      <c r="D571" s="48" t="str">
        <f>CONCATENATE(УЧРЕЖДЕНИЯ!$A$6)</f>
        <v>благоустройство</v>
      </c>
      <c r="E571" s="99" t="s">
        <v>449</v>
      </c>
      <c r="F571" s="100">
        <v>222</v>
      </c>
      <c r="G571" s="100">
        <v>244</v>
      </c>
      <c r="H571" s="17" t="s">
        <v>193</v>
      </c>
      <c r="I571" s="100" t="str">
        <f>IF(OR(F571=152,F571=162,F571=510),IF((OR(LEFT(RIGHT(E571,13),1)={"A","D","E","F","G","I","L","N","P","R","S","T","V"})),"Ф",""),"")</f>
        <v/>
      </c>
    </row>
    <row r="572" spans="4:9" x14ac:dyDescent="0.3">
      <c r="D572" s="48" t="str">
        <f>CONCATENATE(УЧРЕЖДЕНИЯ!$A$6)</f>
        <v>благоустройство</v>
      </c>
      <c r="E572" s="99" t="s">
        <v>449</v>
      </c>
      <c r="F572" s="100">
        <v>225</v>
      </c>
      <c r="G572" s="100">
        <v>244</v>
      </c>
      <c r="H572" s="17" t="s">
        <v>193</v>
      </c>
      <c r="I572" s="100" t="str">
        <f>IF(OR(F572=152,F572=162,F572=510),IF((OR(LEFT(RIGHT(E572,13),1)={"A","D","E","F","G","I","L","N","P","R","S","T","V"})),"Ф",""),"")</f>
        <v/>
      </c>
    </row>
    <row r="573" spans="4:9" x14ac:dyDescent="0.3">
      <c r="D573" s="48" t="str">
        <f>CONCATENATE(УЧРЕЖДЕНИЯ!$A$6)</f>
        <v>благоустройство</v>
      </c>
      <c r="E573" s="99" t="s">
        <v>449</v>
      </c>
      <c r="F573" s="100">
        <v>226</v>
      </c>
      <c r="G573" s="100">
        <v>244</v>
      </c>
      <c r="H573" s="17" t="s">
        <v>193</v>
      </c>
      <c r="I573" s="100" t="str">
        <f>IF(OR(F573=152,F573=162,F573=510),IF((OR(LEFT(RIGHT(E573,13),1)={"A","D","E","F","G","I","L","N","P","R","S","T","V"})),"Ф",""),"")</f>
        <v/>
      </c>
    </row>
    <row r="574" spans="4:9" x14ac:dyDescent="0.3">
      <c r="D574" s="48" t="str">
        <f>CONCATENATE(УЧРЕЖДЕНИЯ!$A$6)</f>
        <v>благоустройство</v>
      </c>
      <c r="E574" s="99" t="s">
        <v>449</v>
      </c>
      <c r="F574" s="100">
        <v>310</v>
      </c>
      <c r="G574" s="100">
        <v>244</v>
      </c>
      <c r="H574" s="17" t="s">
        <v>193</v>
      </c>
      <c r="I574" s="100" t="str">
        <f>IF(OR(F574=152,F574=162,F574=510),IF((OR(LEFT(RIGHT(E574,13),1)={"A","D","E","F","G","I","L","N","P","R","S","T","V"})),"Ф",""),"")</f>
        <v/>
      </c>
    </row>
    <row r="575" spans="4:9" x14ac:dyDescent="0.3">
      <c r="D575" s="48" t="str">
        <f>CONCATENATE(УЧРЕЖДЕНИЯ!$A$6)</f>
        <v>благоустройство</v>
      </c>
      <c r="E575" s="99" t="s">
        <v>449</v>
      </c>
      <c r="F575" s="100">
        <v>343</v>
      </c>
      <c r="G575" s="100">
        <v>244</v>
      </c>
      <c r="H575" s="17" t="s">
        <v>193</v>
      </c>
      <c r="I575" s="100" t="str">
        <f>IF(OR(F575=152,F575=162,F575=510),IF((OR(LEFT(RIGHT(E575,13),1)={"A","D","E","F","G","I","L","N","P","R","S","T","V"})),"Ф",""),"")</f>
        <v/>
      </c>
    </row>
    <row r="576" spans="4:9" x14ac:dyDescent="0.3">
      <c r="D576" s="48" t="str">
        <f>CONCATENATE(УЧРЕЖДЕНИЯ!$A$6)</f>
        <v>благоустройство</v>
      </c>
      <c r="E576" s="99" t="s">
        <v>449</v>
      </c>
      <c r="F576" s="100">
        <v>346</v>
      </c>
      <c r="G576" s="100">
        <v>244</v>
      </c>
      <c r="H576" s="17" t="s">
        <v>193</v>
      </c>
      <c r="I576" s="100" t="str">
        <f>IF(OR(F576=152,F576=162,F576=510),IF((OR(LEFT(RIGHT(E576,13),1)={"A","D","E","F","G","I","L","N","P","R","S","T","V"})),"Ф",""),"")</f>
        <v/>
      </c>
    </row>
    <row r="577" spans="4:9" x14ac:dyDescent="0.3">
      <c r="D577" s="48" t="str">
        <f>CONCATENATE(УЧРЕЖДЕНИЯ!$A$6)</f>
        <v>благоустройство</v>
      </c>
      <c r="E577" s="99" t="s">
        <v>445</v>
      </c>
      <c r="F577" s="100">
        <v>510</v>
      </c>
      <c r="G577" s="100">
        <v>510</v>
      </c>
      <c r="H577" s="17" t="s">
        <v>193</v>
      </c>
      <c r="I577" s="100" t="str">
        <f>IF(OR(F577=152,F577=162,F577=510),IF((OR(LEFT(RIGHT(E577,13),1)={"A","D","E","F","G","I","L","N","P","R","S","T","V"})),"Ф",""),"")</f>
        <v/>
      </c>
    </row>
    <row r="578" spans="4:9" x14ac:dyDescent="0.3">
      <c r="D578" s="48" t="str">
        <f>CONCATENATE(УЧРЕЖДЕНИЯ!$A$6)</f>
        <v>благоустройство</v>
      </c>
      <c r="E578" s="99" t="s">
        <v>451</v>
      </c>
      <c r="F578" s="100">
        <v>131</v>
      </c>
      <c r="G578" s="100">
        <v>130</v>
      </c>
      <c r="H578" s="17" t="s">
        <v>193</v>
      </c>
      <c r="I578" s="100" t="str">
        <f>IF(OR(F578=152,F578=162,F578=510),IF((OR(LEFT(RIGHT(E578,13),1)={"A","D","E","F","G","I","L","N","P","R","S","T","V"})),"Ф",""),"")</f>
        <v/>
      </c>
    </row>
    <row r="579" spans="4:9" x14ac:dyDescent="0.3">
      <c r="D579" s="48" t="str">
        <f>CONCATENATE(УЧРЕЖДЕНИЯ!$A$6)</f>
        <v>благоустройство</v>
      </c>
      <c r="E579" s="99" t="s">
        <v>452</v>
      </c>
      <c r="F579" s="100">
        <v>211</v>
      </c>
      <c r="G579" s="100">
        <v>111</v>
      </c>
      <c r="H579" s="17" t="s">
        <v>193</v>
      </c>
      <c r="I579" s="100" t="str">
        <f>IF(OR(F579=152,F579=162,F579=510),IF((OR(LEFT(RIGHT(E579,13),1)={"A","D","E","F","G","I","L","N","P","R","S","T","V"})),"Ф",""),"")</f>
        <v/>
      </c>
    </row>
    <row r="580" spans="4:9" x14ac:dyDescent="0.3">
      <c r="D580" s="48" t="str">
        <f>CONCATENATE(УЧРЕЖДЕНИЯ!$A$6)</f>
        <v>благоустройство</v>
      </c>
      <c r="E580" s="99" t="s">
        <v>453</v>
      </c>
      <c r="F580" s="100">
        <v>213</v>
      </c>
      <c r="G580" s="100">
        <v>119</v>
      </c>
      <c r="H580" s="17" t="s">
        <v>193</v>
      </c>
      <c r="I580" s="100" t="str">
        <f>IF(OR(F580=152,F580=162,F580=510),IF((OR(LEFT(RIGHT(E580,13),1)={"A","D","E","F","G","I","L","N","P","R","S","T","V"})),"Ф",""),"")</f>
        <v/>
      </c>
    </row>
    <row r="581" spans="4:9" x14ac:dyDescent="0.3">
      <c r="D581" s="48" t="str">
        <f>CONCATENATE(УЧРЕЖДЕНИЯ!$A$6)</f>
        <v>благоустройство</v>
      </c>
      <c r="E581" s="99" t="s">
        <v>454</v>
      </c>
      <c r="F581" s="100">
        <v>225</v>
      </c>
      <c r="G581" s="100">
        <v>244</v>
      </c>
      <c r="H581" s="17" t="s">
        <v>193</v>
      </c>
      <c r="I581" s="100" t="str">
        <f>IF(OR(F581=152,F581=162,F581=510),IF((OR(LEFT(RIGHT(E581,13),1)={"A","D","E","F","G","I","L","N","P","R","S","T","V"})),"Ф",""),"")</f>
        <v/>
      </c>
    </row>
    <row r="582" spans="4:9" x14ac:dyDescent="0.3">
      <c r="D582" s="48" t="str">
        <f>CONCATENATE(УЧРЕЖДЕНИЯ!$A$6)</f>
        <v>благоустройство</v>
      </c>
      <c r="E582" s="99" t="s">
        <v>454</v>
      </c>
      <c r="F582" s="100">
        <v>226</v>
      </c>
      <c r="G582" s="100">
        <v>244</v>
      </c>
      <c r="H582" s="17" t="s">
        <v>193</v>
      </c>
      <c r="I582" s="100" t="str">
        <f>IF(OR(F582=152,F582=162,F582=510),IF((OR(LEFT(RIGHT(E582,13),1)={"A","D","E","F","G","I","L","N","P","R","S","T","V"})),"Ф",""),"")</f>
        <v/>
      </c>
    </row>
    <row r="583" spans="4:9" x14ac:dyDescent="0.3">
      <c r="D583" s="48" t="str">
        <f>CONCATENATE(УЧРЕЖДЕНИЯ!$A$6)</f>
        <v>благоустройство</v>
      </c>
      <c r="E583" s="99" t="s">
        <v>454</v>
      </c>
      <c r="F583" s="100">
        <v>310</v>
      </c>
      <c r="G583" s="100">
        <v>244</v>
      </c>
      <c r="H583" s="17" t="s">
        <v>193</v>
      </c>
      <c r="I583" s="100" t="str">
        <f>IF(OR(F583=152,F583=162,F583=510),IF((OR(LEFT(RIGHT(E583,13),1)={"A","D","E","F","G","I","L","N","P","R","S","T","V"})),"Ф",""),"")</f>
        <v/>
      </c>
    </row>
    <row r="584" spans="4:9" x14ac:dyDescent="0.3">
      <c r="D584" s="48" t="str">
        <f>CONCATENATE(УЧРЕЖДЕНИЯ!$A$6)</f>
        <v>благоустройство</v>
      </c>
      <c r="E584" s="99" t="s">
        <v>454</v>
      </c>
      <c r="F584" s="100">
        <v>343</v>
      </c>
      <c r="G584" s="100">
        <v>244</v>
      </c>
      <c r="H584" s="17" t="s">
        <v>193</v>
      </c>
      <c r="I584" s="100" t="str">
        <f>IF(OR(F584=152,F584=162,F584=510),IF((OR(LEFT(RIGHT(E584,13),1)={"A","D","E","F","G","I","L","N","P","R","S","T","V"})),"Ф",""),"")</f>
        <v/>
      </c>
    </row>
    <row r="585" spans="4:9" x14ac:dyDescent="0.3">
      <c r="D585" s="48" t="str">
        <f>CONCATENATE(УЧРЕЖДЕНИЯ!$A$6)</f>
        <v>благоустройство</v>
      </c>
      <c r="E585" s="99" t="s">
        <v>454</v>
      </c>
      <c r="F585" s="100">
        <v>346</v>
      </c>
      <c r="G585" s="100">
        <v>244</v>
      </c>
      <c r="H585" s="17" t="s">
        <v>193</v>
      </c>
      <c r="I585" s="100" t="str">
        <f>IF(OR(F585=152,F585=162,F585=510),IF((OR(LEFT(RIGHT(E585,13),1)={"A","D","E","F","G","I","L","N","P","R","S","T","V"})),"Ф",""),"")</f>
        <v/>
      </c>
    </row>
    <row r="586" spans="4:9" x14ac:dyDescent="0.3">
      <c r="D586" s="48" t="str">
        <f>CONCATENATE(УЧРЕЖДЕНИЯ!$A$6)</f>
        <v>благоустройство</v>
      </c>
      <c r="E586" s="99" t="s">
        <v>450</v>
      </c>
      <c r="F586" s="100">
        <v>510</v>
      </c>
      <c r="G586" s="100">
        <v>510</v>
      </c>
      <c r="H586" s="17" t="s">
        <v>193</v>
      </c>
      <c r="I586" s="100" t="str">
        <f>IF(OR(F586=152,F586=162,F586=510),IF((OR(LEFT(RIGHT(E586,13),1)={"A","D","E","F","G","I","L","N","P","R","S","T","V"})),"Ф",""),"")</f>
        <v/>
      </c>
    </row>
    <row r="587" spans="4:9" x14ac:dyDescent="0.3">
      <c r="D587" s="48" t="str">
        <f>CONCATENATE(УЧРЕЖДЕНИЯ!$A$6)</f>
        <v>благоустройство</v>
      </c>
      <c r="E587" s="99" t="s">
        <v>456</v>
      </c>
      <c r="F587" s="100">
        <v>131</v>
      </c>
      <c r="G587" s="100">
        <v>130</v>
      </c>
      <c r="H587" s="17" t="s">
        <v>193</v>
      </c>
      <c r="I587" s="100" t="str">
        <f>IF(OR(F587=152,F587=162,F587=510),IF((OR(LEFT(RIGHT(E587,13),1)={"A","D","E","F","G","I","L","N","P","R","S","T","V"})),"Ф",""),"")</f>
        <v/>
      </c>
    </row>
    <row r="588" spans="4:9" x14ac:dyDescent="0.3">
      <c r="D588" s="48" t="str">
        <f>CONCATENATE(УЧРЕЖДЕНИЯ!$A$6)</f>
        <v>благоустройство</v>
      </c>
      <c r="E588" s="99" t="s">
        <v>457</v>
      </c>
      <c r="F588" s="100">
        <v>211</v>
      </c>
      <c r="G588" s="100">
        <v>111</v>
      </c>
      <c r="H588" s="17" t="s">
        <v>193</v>
      </c>
      <c r="I588" s="100" t="str">
        <f>IF(OR(F588=152,F588=162,F588=510),IF((OR(LEFT(RIGHT(E588,13),1)={"A","D","E","F","G","I","L","N","P","R","S","T","V"})),"Ф",""),"")</f>
        <v/>
      </c>
    </row>
    <row r="589" spans="4:9" x14ac:dyDescent="0.3">
      <c r="D589" s="48" t="str">
        <f>CONCATENATE(УЧРЕЖДЕНИЯ!$A$6)</f>
        <v>благоустройство</v>
      </c>
      <c r="E589" s="99" t="s">
        <v>458</v>
      </c>
      <c r="F589" s="100">
        <v>213</v>
      </c>
      <c r="G589" s="100">
        <v>119</v>
      </c>
      <c r="H589" s="17" t="s">
        <v>193</v>
      </c>
      <c r="I589" s="100" t="str">
        <f>IF(OR(F589=152,F589=162,F589=510),IF((OR(LEFT(RIGHT(E589,13),1)={"A","D","E","F","G","I","L","N","P","R","S","T","V"})),"Ф",""),"")</f>
        <v/>
      </c>
    </row>
    <row r="590" spans="4:9" x14ac:dyDescent="0.3">
      <c r="D590" s="48" t="str">
        <f>CONCATENATE(УЧРЕЖДЕНИЯ!$A$6)</f>
        <v>благоустройство</v>
      </c>
      <c r="E590" s="99" t="s">
        <v>459</v>
      </c>
      <c r="F590" s="100">
        <v>222</v>
      </c>
      <c r="G590" s="100">
        <v>244</v>
      </c>
      <c r="H590" s="17" t="s">
        <v>193</v>
      </c>
      <c r="I590" s="100" t="str">
        <f>IF(OR(F590=152,F590=162,F590=510),IF((OR(LEFT(RIGHT(E590,13),1)={"A","D","E","F","G","I","L","N","P","R","S","T","V"})),"Ф",""),"")</f>
        <v/>
      </c>
    </row>
    <row r="591" spans="4:9" x14ac:dyDescent="0.3">
      <c r="D591" s="48" t="str">
        <f>CONCATENATE(УЧРЕЖДЕНИЯ!$A$6)</f>
        <v>благоустройство</v>
      </c>
      <c r="E591" s="99" t="s">
        <v>459</v>
      </c>
      <c r="F591" s="100">
        <v>225</v>
      </c>
      <c r="G591" s="100">
        <v>244</v>
      </c>
      <c r="H591" s="17" t="s">
        <v>193</v>
      </c>
      <c r="I591" s="100" t="str">
        <f>IF(OR(F591=152,F591=162,F591=510),IF((OR(LEFT(RIGHT(E591,13),1)={"A","D","E","F","G","I","L","N","P","R","S","T","V"})),"Ф",""),"")</f>
        <v/>
      </c>
    </row>
    <row r="592" spans="4:9" x14ac:dyDescent="0.3">
      <c r="D592" s="48" t="str">
        <f>CONCATENATE(УЧРЕЖДЕНИЯ!$A$6)</f>
        <v>благоустройство</v>
      </c>
      <c r="E592" s="99" t="s">
        <v>459</v>
      </c>
      <c r="F592" s="100">
        <v>226</v>
      </c>
      <c r="G592" s="100">
        <v>244</v>
      </c>
      <c r="H592" s="17" t="s">
        <v>193</v>
      </c>
      <c r="I592" s="100" t="str">
        <f>IF(OR(F592=152,F592=162,F592=510),IF((OR(LEFT(RIGHT(E592,13),1)={"A","D","E","F","G","I","L","N","P","R","S","T","V"})),"Ф",""),"")</f>
        <v/>
      </c>
    </row>
    <row r="593" spans="4:9" x14ac:dyDescent="0.3">
      <c r="D593" s="48" t="str">
        <f>CONCATENATE(УЧРЕЖДЕНИЯ!$A$6)</f>
        <v>благоустройство</v>
      </c>
      <c r="E593" s="99" t="s">
        <v>459</v>
      </c>
      <c r="F593" s="100">
        <v>310</v>
      </c>
      <c r="G593" s="100">
        <v>244</v>
      </c>
      <c r="H593" s="17" t="s">
        <v>193</v>
      </c>
      <c r="I593" s="100" t="str">
        <f>IF(OR(F593=152,F593=162,F593=510),IF((OR(LEFT(RIGHT(E593,13),1)={"A","D","E","F","G","I","L","N","P","R","S","T","V"})),"Ф",""),"")</f>
        <v/>
      </c>
    </row>
    <row r="594" spans="4:9" x14ac:dyDescent="0.3">
      <c r="D594" s="48" t="str">
        <f>CONCATENATE(УЧРЕЖДЕНИЯ!$A$6)</f>
        <v>благоустройство</v>
      </c>
      <c r="E594" s="99" t="s">
        <v>459</v>
      </c>
      <c r="F594" s="100">
        <v>343</v>
      </c>
      <c r="G594" s="100">
        <v>244</v>
      </c>
      <c r="H594" s="17" t="s">
        <v>193</v>
      </c>
      <c r="I594" s="100" t="str">
        <f>IF(OR(F594=152,F594=162,F594=510),IF((OR(LEFT(RIGHT(E594,13),1)={"A","D","E","F","G","I","L","N","P","R","S","T","V"})),"Ф",""),"")</f>
        <v/>
      </c>
    </row>
    <row r="595" spans="4:9" x14ac:dyDescent="0.3">
      <c r="D595" s="48" t="str">
        <f>CONCATENATE(УЧРЕЖДЕНИЯ!$A$6)</f>
        <v>благоустройство</v>
      </c>
      <c r="E595" s="99" t="s">
        <v>459</v>
      </c>
      <c r="F595" s="100">
        <v>344</v>
      </c>
      <c r="G595" s="100">
        <v>244</v>
      </c>
      <c r="H595" s="17" t="s">
        <v>193</v>
      </c>
      <c r="I595" s="100" t="str">
        <f>IF(OR(F595=152,F595=162,F595=510),IF((OR(LEFT(RIGHT(E595,13),1)={"A","D","E","F","G","I","L","N","P","R","S","T","V"})),"Ф",""),"")</f>
        <v/>
      </c>
    </row>
    <row r="596" spans="4:9" x14ac:dyDescent="0.3">
      <c r="D596" s="48" t="str">
        <f>CONCATENATE(УЧРЕЖДЕНИЯ!$A$6)</f>
        <v>благоустройство</v>
      </c>
      <c r="E596" s="99" t="s">
        <v>459</v>
      </c>
      <c r="F596" s="100">
        <v>346</v>
      </c>
      <c r="G596" s="100">
        <v>244</v>
      </c>
      <c r="H596" s="17" t="s">
        <v>193</v>
      </c>
      <c r="I596" s="100" t="str">
        <f>IF(OR(F596=152,F596=162,F596=510),IF((OR(LEFT(RIGHT(E596,13),1)={"A","D","E","F","G","I","L","N","P","R","S","T","V"})),"Ф",""),"")</f>
        <v/>
      </c>
    </row>
    <row r="597" spans="4:9" x14ac:dyDescent="0.3">
      <c r="D597" s="48" t="str">
        <f>CONCATENATE(УЧРЕЖДЕНИЯ!$A$6)</f>
        <v>благоустройство</v>
      </c>
      <c r="E597" s="99" t="s">
        <v>455</v>
      </c>
      <c r="F597" s="100">
        <v>510</v>
      </c>
      <c r="G597" s="100">
        <v>510</v>
      </c>
      <c r="H597" s="17" t="s">
        <v>193</v>
      </c>
      <c r="I597" s="100" t="str">
        <f>IF(OR(F597=152,F597=162,F597=510),IF((OR(LEFT(RIGHT(E597,13),1)={"A","D","E","F","G","I","L","N","P","R","S","T","V"})),"Ф",""),"")</f>
        <v/>
      </c>
    </row>
    <row r="598" spans="4:9" x14ac:dyDescent="0.3">
      <c r="D598" s="48" t="str">
        <f>CONCATENATE(УЧРЕЖДЕНИЯ!$A$6)</f>
        <v>благоустройство</v>
      </c>
      <c r="E598" s="99" t="s">
        <v>461</v>
      </c>
      <c r="F598" s="100">
        <v>131</v>
      </c>
      <c r="G598" s="100">
        <v>130</v>
      </c>
      <c r="H598" s="17" t="s">
        <v>195</v>
      </c>
      <c r="I598" s="100" t="str">
        <f>IF(OR(F598=152,F598=162,F598=510),IF((OR(LEFT(RIGHT(E598,13),1)={"A","D","E","F","G","I","L","N","P","R","S","T","V"})),"Ф",""),"")</f>
        <v/>
      </c>
    </row>
    <row r="599" spans="4:9" x14ac:dyDescent="0.3">
      <c r="D599" s="48" t="str">
        <f>CONCATENATE(УЧРЕЖДЕНИЯ!$A$6)</f>
        <v>благоустройство</v>
      </c>
      <c r="E599" s="99" t="s">
        <v>462</v>
      </c>
      <c r="F599" s="100">
        <v>211</v>
      </c>
      <c r="G599" s="100">
        <v>111</v>
      </c>
      <c r="H599" s="17" t="s">
        <v>195</v>
      </c>
      <c r="I599" s="100" t="str">
        <f>IF(OR(F599=152,F599=162,F599=510),IF((OR(LEFT(RIGHT(E599,13),1)={"A","D","E","F","G","I","L","N","P","R","S","T","V"})),"Ф",""),"")</f>
        <v/>
      </c>
    </row>
    <row r="600" spans="4:9" x14ac:dyDescent="0.3">
      <c r="D600" s="48" t="str">
        <f>CONCATENATE(УЧРЕЖДЕНИЯ!$A$6)</f>
        <v>благоустройство</v>
      </c>
      <c r="E600" s="99" t="s">
        <v>462</v>
      </c>
      <c r="F600" s="100">
        <v>266</v>
      </c>
      <c r="G600" s="100">
        <v>111</v>
      </c>
      <c r="H600" s="17" t="s">
        <v>195</v>
      </c>
      <c r="I600" s="100" t="str">
        <f>IF(OR(F600=152,F600=162,F600=510),IF((OR(LEFT(RIGHT(E600,13),1)={"A","D","E","F","G","I","L","N","P","R","S","T","V"})),"Ф",""),"")</f>
        <v/>
      </c>
    </row>
    <row r="601" spans="4:9" x14ac:dyDescent="0.3">
      <c r="D601" s="48" t="str">
        <f>CONCATENATE(УЧРЕЖДЕНИЯ!$A$6)</f>
        <v>благоустройство</v>
      </c>
      <c r="E601" s="99" t="s">
        <v>463</v>
      </c>
      <c r="F601" s="100">
        <v>212</v>
      </c>
      <c r="G601" s="100">
        <v>112</v>
      </c>
      <c r="H601" s="17" t="s">
        <v>195</v>
      </c>
      <c r="I601" s="100" t="str">
        <f>IF(OR(F601=152,F601=162,F601=510),IF((OR(LEFT(RIGHT(E601,13),1)={"A","D","E","F","G","I","L","N","P","R","S","T","V"})),"Ф",""),"")</f>
        <v/>
      </c>
    </row>
    <row r="602" spans="4:9" x14ac:dyDescent="0.3">
      <c r="D602" s="48" t="str">
        <f>CONCATENATE(УЧРЕЖДЕНИЯ!$A$6)</f>
        <v>благоустройство</v>
      </c>
      <c r="E602" s="99" t="s">
        <v>464</v>
      </c>
      <c r="F602" s="100">
        <v>213</v>
      </c>
      <c r="G602" s="100">
        <v>119</v>
      </c>
      <c r="H602" s="17" t="s">
        <v>195</v>
      </c>
      <c r="I602" s="100" t="str">
        <f>IF(OR(F602=152,F602=162,F602=510),IF((OR(LEFT(RIGHT(E602,13),1)={"A","D","E","F","G","I","L","N","P","R","S","T","V"})),"Ф",""),"")</f>
        <v/>
      </c>
    </row>
    <row r="603" spans="4:9" x14ac:dyDescent="0.3">
      <c r="D603" s="48" t="str">
        <f>CONCATENATE(УЧРЕЖДЕНИЯ!$A$6)</f>
        <v>благоустройство</v>
      </c>
      <c r="E603" s="99" t="s">
        <v>465</v>
      </c>
      <c r="F603" s="100">
        <v>221</v>
      </c>
      <c r="G603" s="100">
        <v>244</v>
      </c>
      <c r="H603" s="17" t="s">
        <v>195</v>
      </c>
      <c r="I603" s="100" t="str">
        <f>IF(OR(F603=152,F603=162,F603=510),IF((OR(LEFT(RIGHT(E603,13),1)={"A","D","E","F","G","I","L","N","P","R","S","T","V"})),"Ф",""),"")</f>
        <v/>
      </c>
    </row>
    <row r="604" spans="4:9" x14ac:dyDescent="0.3">
      <c r="D604" s="48" t="str">
        <f>CONCATENATE(УЧРЕЖДЕНИЯ!$A$6)</f>
        <v>благоустройство</v>
      </c>
      <c r="E604" s="99" t="s">
        <v>465</v>
      </c>
      <c r="F604" s="100">
        <v>222</v>
      </c>
      <c r="G604" s="100">
        <v>244</v>
      </c>
      <c r="H604" s="17" t="s">
        <v>195</v>
      </c>
      <c r="I604" s="100" t="str">
        <f>IF(OR(F604=152,F604=162,F604=510),IF((OR(LEFT(RIGHT(E604,13),1)={"A","D","E","F","G","I","L","N","P","R","S","T","V"})),"Ф",""),"")</f>
        <v/>
      </c>
    </row>
    <row r="605" spans="4:9" x14ac:dyDescent="0.3">
      <c r="D605" s="48" t="str">
        <f>CONCATENATE(УЧРЕЖДЕНИЯ!$A$6)</f>
        <v>благоустройство</v>
      </c>
      <c r="E605" s="99" t="s">
        <v>466</v>
      </c>
      <c r="F605" s="100">
        <v>2233</v>
      </c>
      <c r="G605" s="100">
        <v>244</v>
      </c>
      <c r="H605" s="17" t="s">
        <v>195</v>
      </c>
      <c r="I605" s="100" t="str">
        <f>IF(OR(F605=152,F605=162,F605=510),IF((OR(LEFT(RIGHT(E605,13),1)={"A","D","E","F","G","I","L","N","P","R","S","T","V"})),"Ф",""),"")</f>
        <v/>
      </c>
    </row>
    <row r="606" spans="4:9" x14ac:dyDescent="0.3">
      <c r="D606" s="48" t="str">
        <f>CONCATENATE(УЧРЕЖДЕНИЯ!$A$6)</f>
        <v>благоустройство</v>
      </c>
      <c r="E606" s="99" t="s">
        <v>674</v>
      </c>
      <c r="F606" s="100">
        <v>2234</v>
      </c>
      <c r="G606" s="100">
        <v>244</v>
      </c>
      <c r="H606" s="17" t="s">
        <v>195</v>
      </c>
      <c r="I606" s="100" t="str">
        <f>IF(OR(F606=152,F606=162,F606=510),IF((OR(LEFT(RIGHT(E606,13),1)={"A","D","E","F","G","I","L","N","P","R","S","T","V"})),"Ф",""),"")</f>
        <v/>
      </c>
    </row>
    <row r="607" spans="4:9" x14ac:dyDescent="0.3">
      <c r="D607" s="48" t="str">
        <f>CONCATENATE(УЧРЕЖДЕНИЯ!$A$6)</f>
        <v>благоустройство</v>
      </c>
      <c r="E607" s="99" t="s">
        <v>465</v>
      </c>
      <c r="F607" s="100">
        <v>224</v>
      </c>
      <c r="G607" s="100">
        <v>244</v>
      </c>
      <c r="H607" s="17" t="s">
        <v>195</v>
      </c>
      <c r="I607" s="100" t="str">
        <f>IF(OR(F607=152,F607=162,F607=510),IF((OR(LEFT(RIGHT(E607,13),1)={"A","D","E","F","G","I","L","N","P","R","S","T","V"})),"Ф",""),"")</f>
        <v/>
      </c>
    </row>
    <row r="608" spans="4:9" x14ac:dyDescent="0.3">
      <c r="D608" s="48" t="str">
        <f>CONCATENATE(УЧРЕЖДЕНИЯ!$A$6)</f>
        <v>благоустройство</v>
      </c>
      <c r="E608" s="99" t="s">
        <v>465</v>
      </c>
      <c r="F608" s="100">
        <v>225</v>
      </c>
      <c r="G608" s="100">
        <v>244</v>
      </c>
      <c r="H608" s="17" t="s">
        <v>195</v>
      </c>
      <c r="I608" s="100" t="str">
        <f>IF(OR(F608=152,F608=162,F608=510),IF((OR(LEFT(RIGHT(E608,13),1)={"A","D","E","F","G","I","L","N","P","R","S","T","V"})),"Ф",""),"")</f>
        <v/>
      </c>
    </row>
    <row r="609" spans="4:9" x14ac:dyDescent="0.3">
      <c r="D609" s="48" t="str">
        <f>CONCATENATE(УЧРЕЖДЕНИЯ!$A$6)</f>
        <v>благоустройство</v>
      </c>
      <c r="E609" s="99" t="s">
        <v>465</v>
      </c>
      <c r="F609" s="100">
        <v>226</v>
      </c>
      <c r="G609" s="100">
        <v>244</v>
      </c>
      <c r="H609" s="17" t="s">
        <v>195</v>
      </c>
      <c r="I609" s="100" t="str">
        <f>IF(OR(F609=152,F609=162,F609=510),IF((OR(LEFT(RIGHT(E609,13),1)={"A","D","E","F","G","I","L","N","P","R","S","T","V"})),"Ф",""),"")</f>
        <v/>
      </c>
    </row>
    <row r="610" spans="4:9" x14ac:dyDescent="0.3">
      <c r="D610" s="48" t="str">
        <f>CONCATENATE(УЧРЕЖДЕНИЯ!$A$6)</f>
        <v>благоустройство</v>
      </c>
      <c r="E610" s="99" t="s">
        <v>465</v>
      </c>
      <c r="F610" s="100">
        <v>227</v>
      </c>
      <c r="G610" s="100">
        <v>244</v>
      </c>
      <c r="H610" s="17" t="s">
        <v>195</v>
      </c>
      <c r="I610" s="100" t="str">
        <f>IF(OR(F610=152,F610=162,F610=510),IF((OR(LEFT(RIGHT(E610,13),1)={"A","D","E","F","G","I","L","N","P","R","S","T","V"})),"Ф",""),"")</f>
        <v/>
      </c>
    </row>
    <row r="611" spans="4:9" x14ac:dyDescent="0.3">
      <c r="D611" s="48" t="str">
        <f>CONCATENATE(УЧРЕЖДЕНИЯ!$A$6)</f>
        <v>благоустройство</v>
      </c>
      <c r="E611" s="99" t="s">
        <v>465</v>
      </c>
      <c r="F611" s="100">
        <v>310</v>
      </c>
      <c r="G611" s="100">
        <v>244</v>
      </c>
      <c r="H611" s="17" t="s">
        <v>195</v>
      </c>
      <c r="I611" s="100" t="str">
        <f>IF(OR(F611=152,F611=162,F611=510),IF((OR(LEFT(RIGHT(E611,13),1)={"A","D","E","F","G","I","L","N","P","R","S","T","V"})),"Ф",""),"")</f>
        <v/>
      </c>
    </row>
    <row r="612" spans="4:9" x14ac:dyDescent="0.3">
      <c r="D612" s="48" t="str">
        <f>CONCATENATE(УЧРЕЖДЕНИЯ!$A$6)</f>
        <v>благоустройство</v>
      </c>
      <c r="E612" s="99" t="s">
        <v>465</v>
      </c>
      <c r="F612" s="100">
        <v>343</v>
      </c>
      <c r="G612" s="100">
        <v>244</v>
      </c>
      <c r="H612" s="17" t="s">
        <v>195</v>
      </c>
      <c r="I612" s="100" t="str">
        <f>IF(OR(F612=152,F612=162,F612=510),IF((OR(LEFT(RIGHT(E612,13),1)={"A","D","E","F","G","I","L","N","P","R","S","T","V"})),"Ф",""),"")</f>
        <v/>
      </c>
    </row>
    <row r="613" spans="4:9" x14ac:dyDescent="0.3">
      <c r="D613" s="48" t="str">
        <f>CONCATENATE(УЧРЕЖДЕНИЯ!$A$6)</f>
        <v>благоустройство</v>
      </c>
      <c r="E613" s="99" t="s">
        <v>465</v>
      </c>
      <c r="F613" s="100">
        <v>345</v>
      </c>
      <c r="G613" s="100">
        <v>244</v>
      </c>
      <c r="H613" s="17" t="s">
        <v>195</v>
      </c>
      <c r="I613" s="100" t="str">
        <f>IF(OR(F613=152,F613=162,F613=510),IF((OR(LEFT(RIGHT(E613,13),1)={"A","D","E","F","G","I","L","N","P","R","S","T","V"})),"Ф",""),"")</f>
        <v/>
      </c>
    </row>
    <row r="614" spans="4:9" x14ac:dyDescent="0.3">
      <c r="D614" s="48" t="str">
        <f>CONCATENATE(УЧРЕЖДЕНИЯ!$A$6)</f>
        <v>благоустройство</v>
      </c>
      <c r="E614" s="99" t="s">
        <v>465</v>
      </c>
      <c r="F614" s="100">
        <v>346</v>
      </c>
      <c r="G614" s="100">
        <v>244</v>
      </c>
      <c r="H614" s="17" t="s">
        <v>195</v>
      </c>
      <c r="I614" s="100" t="str">
        <f>IF(OR(F614=152,F614=162,F614=510),IF((OR(LEFT(RIGHT(E614,13),1)={"A","D","E","F","G","I","L","N","P","R","S","T","V"})),"Ф",""),"")</f>
        <v/>
      </c>
    </row>
    <row r="615" spans="4:9" x14ac:dyDescent="0.3">
      <c r="D615" s="48" t="str">
        <f>CONCATENATE(УЧРЕЖДЕНИЯ!$A$6)</f>
        <v>благоустройство</v>
      </c>
      <c r="E615" s="99" t="s">
        <v>689</v>
      </c>
      <c r="F615" s="100">
        <v>2231</v>
      </c>
      <c r="G615" s="100">
        <v>247</v>
      </c>
      <c r="H615" s="17" t="s">
        <v>195</v>
      </c>
      <c r="I615" s="100" t="str">
        <f>IF(OR(F615=152,F615=162,F615=510),IF((OR(LEFT(RIGHT(E615,13),1)={"A","D","E","F","G","I","L","N","P","R","S","T","V"})),"Ф",""),"")</f>
        <v/>
      </c>
    </row>
    <row r="616" spans="4:9" x14ac:dyDescent="0.3">
      <c r="D616" s="48" t="str">
        <f>CONCATENATE(УЧРЕЖДЕНИЯ!$A$6)</f>
        <v>благоустройство</v>
      </c>
      <c r="E616" s="99" t="s">
        <v>700</v>
      </c>
      <c r="F616" s="100">
        <v>2232</v>
      </c>
      <c r="G616" s="100">
        <v>247</v>
      </c>
      <c r="H616" s="17" t="s">
        <v>195</v>
      </c>
      <c r="I616" s="100" t="str">
        <f>IF(OR(F616=152,F616=162,F616=510),IF((OR(LEFT(RIGHT(E616,13),1)={"A","D","E","F","G","I","L","N","P","R","S","T","V"})),"Ф",""),"")</f>
        <v/>
      </c>
    </row>
    <row r="617" spans="4:9" x14ac:dyDescent="0.3">
      <c r="D617" s="48" t="str">
        <f>CONCATENATE(УЧРЕЖДЕНИЯ!$A$6)</f>
        <v>благоустройство</v>
      </c>
      <c r="E617" s="99" t="s">
        <v>467</v>
      </c>
      <c r="F617" s="100">
        <v>261</v>
      </c>
      <c r="G617" s="100">
        <v>321</v>
      </c>
      <c r="H617" s="17" t="s">
        <v>195</v>
      </c>
      <c r="I617" s="100" t="str">
        <f>IF(OR(F617=152,F617=162,F617=510),IF((OR(LEFT(RIGHT(E617,13),1)={"A","D","E","F","G","I","L","N","P","R","S","T","V"})),"Ф",""),"")</f>
        <v/>
      </c>
    </row>
    <row r="618" spans="4:9" x14ac:dyDescent="0.3">
      <c r="D618" s="48" t="str">
        <f>CONCATENATE(УЧРЕЖДЕНИЯ!$A$6)</f>
        <v>благоустройство</v>
      </c>
      <c r="E618" s="99" t="s">
        <v>460</v>
      </c>
      <c r="F618" s="100">
        <v>510</v>
      </c>
      <c r="G618" s="100">
        <v>510</v>
      </c>
      <c r="H618" s="17" t="s">
        <v>195</v>
      </c>
      <c r="I618" s="100" t="str">
        <f>IF(OR(F618=152,F618=162,F618=510),IF((OR(LEFT(RIGHT(E618,13),1)={"A","D","E","F","G","I","L","N","P","R","S","T","V"})),"Ф",""),"")</f>
        <v/>
      </c>
    </row>
    <row r="619" spans="4:9" x14ac:dyDescent="0.3">
      <c r="D619" s="48" t="str">
        <f>CONCATENATE(УЧРЕЖДЕНИЯ!$A$6)</f>
        <v>благоустройство</v>
      </c>
      <c r="E619" s="99" t="s">
        <v>468</v>
      </c>
      <c r="F619" s="100">
        <v>291</v>
      </c>
      <c r="G619" s="100">
        <v>851</v>
      </c>
      <c r="H619" s="17" t="s">
        <v>195</v>
      </c>
      <c r="I619" s="100" t="str">
        <f>IF(OR(F619=152,F619=162,F619=510),IF((OR(LEFT(RIGHT(E619,13),1)={"A","D","E","F","G","I","L","N","P","R","S","T","V"})),"Ф",""),"")</f>
        <v/>
      </c>
    </row>
    <row r="620" spans="4:9" x14ac:dyDescent="0.3">
      <c r="D620" s="48" t="str">
        <f>CONCATENATE(УЧРЕЖДЕНИЯ!$A$6)</f>
        <v>благоустройство</v>
      </c>
      <c r="E620" s="99" t="s">
        <v>469</v>
      </c>
      <c r="F620" s="100">
        <v>291</v>
      </c>
      <c r="G620" s="100">
        <v>852</v>
      </c>
      <c r="H620" s="17" t="s">
        <v>195</v>
      </c>
      <c r="I620" s="100" t="str">
        <f>IF(OR(F620=152,F620=162,F620=510),IF((OR(LEFT(RIGHT(E620,13),1)={"A","D","E","F","G","I","L","N","P","R","S","T","V"})),"Ф",""),"")</f>
        <v/>
      </c>
    </row>
    <row r="621" spans="4:9" x14ac:dyDescent="0.3">
      <c r="D621" s="48" t="str">
        <f>CONCATENATE(УЧРЕЖДЕНИЯ!$A$6)</f>
        <v>благоустройство</v>
      </c>
      <c r="E621" s="99" t="s">
        <v>470</v>
      </c>
      <c r="F621" s="100">
        <v>291</v>
      </c>
      <c r="G621" s="100">
        <v>853</v>
      </c>
      <c r="H621" s="17" t="s">
        <v>195</v>
      </c>
      <c r="I621" s="100" t="str">
        <f>IF(OR(F621=152,F621=162,F621=510),IF((OR(LEFT(RIGHT(E621,13),1)={"A","D","E","F","G","I","L","N","P","R","S","T","V"})),"Ф",""),"")</f>
        <v/>
      </c>
    </row>
    <row r="622" spans="4:9" x14ac:dyDescent="0.3">
      <c r="D622" s="48" t="str">
        <f>CONCATENATE(УЧРЕЖДЕНИЯ!$A$6)</f>
        <v>благоустройство</v>
      </c>
      <c r="E622" s="99" t="s">
        <v>470</v>
      </c>
      <c r="F622" s="100">
        <v>292</v>
      </c>
      <c r="G622" s="100">
        <v>853</v>
      </c>
      <c r="H622" s="17" t="s">
        <v>195</v>
      </c>
      <c r="I622" s="100" t="str">
        <f>IF(OR(F622=152,F622=162,F622=510),IF((OR(LEFT(RIGHT(E622,13),1)={"A","D","E","F","G","I","L","N","P","R","S","T","V"})),"Ф",""),"")</f>
        <v/>
      </c>
    </row>
    <row r="623" spans="4:9" x14ac:dyDescent="0.3">
      <c r="D623" s="48" t="str">
        <f>CONCATENATE(УЧРЕЖДЕНИЯ!$A$6)</f>
        <v>благоустройство</v>
      </c>
      <c r="E623" s="99" t="s">
        <v>472</v>
      </c>
      <c r="F623" s="100">
        <v>131</v>
      </c>
      <c r="G623" s="100">
        <v>130</v>
      </c>
      <c r="H623" s="17" t="s">
        <v>194</v>
      </c>
      <c r="I623" s="100" t="str">
        <f>IF(OR(F623=152,F623=162,F623=510),IF((OR(LEFT(RIGHT(E623,13),1)={"A","D","E","F","G","I","L","N","P","R","S","T","V"})),"Ф",""),"")</f>
        <v/>
      </c>
    </row>
    <row r="624" spans="4:9" x14ac:dyDescent="0.3">
      <c r="D624" s="48" t="str">
        <f>CONCATENATE(УЧРЕЖДЕНИЯ!$A$6)</f>
        <v>благоустройство</v>
      </c>
      <c r="E624" s="99" t="s">
        <v>473</v>
      </c>
      <c r="F624" s="100">
        <v>226</v>
      </c>
      <c r="G624" s="100">
        <v>244</v>
      </c>
      <c r="H624" s="17" t="s">
        <v>194</v>
      </c>
      <c r="I624" s="100" t="str">
        <f>IF(OR(F624=152,F624=162,F624=510),IF((OR(LEFT(RIGHT(E624,13),1)={"A","D","E","F","G","I","L","N","P","R","S","T","V"})),"Ф",""),"")</f>
        <v/>
      </c>
    </row>
    <row r="625" spans="2:9" x14ac:dyDescent="0.3">
      <c r="D625" s="48" t="str">
        <f>CONCATENATE(УЧРЕЖДЕНИЯ!$A$6)</f>
        <v>благоустройство</v>
      </c>
      <c r="E625" s="99" t="s">
        <v>473</v>
      </c>
      <c r="F625" s="100">
        <v>310</v>
      </c>
      <c r="G625" s="100">
        <v>244</v>
      </c>
      <c r="H625" s="17" t="s">
        <v>194</v>
      </c>
      <c r="I625" s="100" t="str">
        <f>IF(OR(F625=152,F625=162,F625=510),IF((OR(LEFT(RIGHT(E625,13),1)={"A","D","E","F","G","I","L","N","P","R","S","T","V"})),"Ф",""),"")</f>
        <v/>
      </c>
    </row>
    <row r="626" spans="2:9" x14ac:dyDescent="0.3">
      <c r="D626" s="48" t="str">
        <f>CONCATENATE(УЧРЕЖДЕНИЯ!$A$6)</f>
        <v>благоустройство</v>
      </c>
      <c r="E626" s="99" t="s">
        <v>473</v>
      </c>
      <c r="F626" s="100">
        <v>344</v>
      </c>
      <c r="G626" s="100">
        <v>244</v>
      </c>
      <c r="H626" s="17" t="s">
        <v>194</v>
      </c>
      <c r="I626" s="100" t="str">
        <f>IF(OR(F626=152,F626=162,F626=510),IF((OR(LEFT(RIGHT(E626,13),1)={"A","D","E","F","G","I","L","N","P","R","S","T","V"})),"Ф",""),"")</f>
        <v/>
      </c>
    </row>
    <row r="627" spans="2:9" x14ac:dyDescent="0.3">
      <c r="D627" s="48" t="str">
        <f>CONCATENATE(УЧРЕЖДЕНИЯ!$A$6)</f>
        <v>благоустройство</v>
      </c>
      <c r="E627" s="99" t="s">
        <v>473</v>
      </c>
      <c r="F627" s="100">
        <v>346</v>
      </c>
      <c r="G627" s="100">
        <v>244</v>
      </c>
      <c r="H627" s="17" t="s">
        <v>194</v>
      </c>
      <c r="I627" s="100" t="str">
        <f>IF(OR(F627=152,F627=162,F627=510),IF((OR(LEFT(RIGHT(E627,13),1)={"A","D","E","F","G","I","L","N","P","R","S","T","V"})),"Ф",""),"")</f>
        <v/>
      </c>
    </row>
    <row r="628" spans="2:9" x14ac:dyDescent="0.3">
      <c r="D628" s="48" t="str">
        <f>CONCATENATE(УЧРЕЖДЕНИЯ!$A$6)</f>
        <v>благоустройство</v>
      </c>
      <c r="E628" s="99" t="s">
        <v>471</v>
      </c>
      <c r="F628" s="100">
        <v>510</v>
      </c>
      <c r="G628" s="100">
        <v>510</v>
      </c>
      <c r="H628" s="17" t="s">
        <v>194</v>
      </c>
      <c r="I628" s="100" t="str">
        <f>IF(OR(F628=152,F628=162,F628=510),IF((OR(LEFT(RIGHT(E628,13),1)={"A","D","E","F","G","I","L","N","P","R","S","T","V"})),"Ф",""),"")</f>
        <v/>
      </c>
    </row>
    <row r="629" spans="2:9" x14ac:dyDescent="0.3">
      <c r="D629" s="48" t="str">
        <f>CONCATENATE(УЧРЕЖДЕНИЯ!$A$6)</f>
        <v>благоустройство</v>
      </c>
      <c r="E629" s="99" t="s">
        <v>591</v>
      </c>
      <c r="F629" s="100">
        <v>131</v>
      </c>
      <c r="G629" s="100">
        <v>130</v>
      </c>
      <c r="H629" s="17" t="s">
        <v>582</v>
      </c>
      <c r="I629" s="100" t="str">
        <f>IF(OR(F629=152,F629=162,F629=510),IF((OR(LEFT(RIGHT(E629,13),1)={"A","D","E","F","G","I","L","N","P","R","S","T","V"})),"Ф",""),"")</f>
        <v/>
      </c>
    </row>
    <row r="630" spans="2:9" x14ac:dyDescent="0.3">
      <c r="D630" s="48" t="str">
        <f>CONCATENATE(УЧРЕЖДЕНИЯ!$A$6)</f>
        <v>благоустройство</v>
      </c>
      <c r="E630" s="99" t="s">
        <v>592</v>
      </c>
      <c r="F630" s="100">
        <v>226</v>
      </c>
      <c r="G630" s="100">
        <v>244</v>
      </c>
      <c r="H630" s="17" t="s">
        <v>582</v>
      </c>
      <c r="I630" s="100" t="str">
        <f>IF(OR(F630=152,F630=162,F630=510),IF((OR(LEFT(RIGHT(E630,13),1)={"A","D","E","F","G","I","L","N","P","R","S","T","V"})),"Ф",""),"")</f>
        <v/>
      </c>
    </row>
    <row r="631" spans="2:9" x14ac:dyDescent="0.3">
      <c r="D631" s="48" t="str">
        <f>CONCATENATE(УЧРЕЖДЕНИЯ!$A$6)</f>
        <v>благоустройство</v>
      </c>
      <c r="E631" s="99" t="s">
        <v>734</v>
      </c>
      <c r="F631" s="100">
        <v>510</v>
      </c>
      <c r="G631" s="100">
        <v>510</v>
      </c>
      <c r="H631" s="17" t="s">
        <v>582</v>
      </c>
      <c r="I631" s="100" t="str">
        <f>IF(OR(F631=152,F631=162,F631=510),IF((OR(LEFT(RIGHT(E631,13),1)={"A","D","E","F","G","I","L","N","P","R","S","T","V"})),"Ф",""),"")</f>
        <v/>
      </c>
    </row>
    <row r="632" spans="2:9" x14ac:dyDescent="0.3">
      <c r="B632" s="48" t="s">
        <v>739</v>
      </c>
      <c r="C632" s="48" t="s">
        <v>136</v>
      </c>
      <c r="D632" s="48" t="str">
        <f>CONCATENATE(УЧРЕЖДЕНИЯ!$A$7)</f>
        <v>МХШ</v>
      </c>
      <c r="E632" s="99" t="s">
        <v>429</v>
      </c>
      <c r="F632" s="100">
        <v>131</v>
      </c>
      <c r="G632" s="100">
        <v>130</v>
      </c>
      <c r="H632" s="17" t="s">
        <v>192</v>
      </c>
      <c r="I632" s="100" t="str">
        <f>IF(OR(F632=152,F632=162,F632=510),IF((OR(LEFT(RIGHT(E632,13),1)={"A","D","E","F","G","I","L","N","P","R","S","T","V"})),"Ф",""),"")</f>
        <v/>
      </c>
    </row>
    <row r="633" spans="2:9" x14ac:dyDescent="0.3">
      <c r="D633" s="48" t="str">
        <f>CONCATENATE(УЧРЕЖДЕНИЯ!$A$7)</f>
        <v>МХШ</v>
      </c>
      <c r="E633" s="99" t="s">
        <v>433</v>
      </c>
      <c r="F633" s="100">
        <v>211</v>
      </c>
      <c r="G633" s="100">
        <v>111</v>
      </c>
      <c r="H633" s="17" t="s">
        <v>192</v>
      </c>
      <c r="I633" s="100" t="str">
        <f>IF(OR(F633=152,F633=162,F633=510),IF((OR(LEFT(RIGHT(E633,13),1)={"A","D","E","F","G","I","L","N","P","R","S","T","V"})),"Ф",""),"")</f>
        <v/>
      </c>
    </row>
    <row r="634" spans="2:9" x14ac:dyDescent="0.3">
      <c r="D634" s="48" t="str">
        <f>CONCATENATE(УЧРЕЖДЕНИЯ!$A$7)</f>
        <v>МХШ</v>
      </c>
      <c r="E634" s="99" t="s">
        <v>431</v>
      </c>
      <c r="F634" s="100">
        <v>213</v>
      </c>
      <c r="G634" s="100">
        <v>119</v>
      </c>
      <c r="H634" s="17" t="s">
        <v>192</v>
      </c>
      <c r="I634" s="100" t="str">
        <f>IF(OR(F634=152,F634=162,F634=510),IF((OR(LEFT(RIGHT(E634,13),1)={"A","D","E","F","G","I","L","N","P","R","S","T","V"})),"Ф",""),"")</f>
        <v/>
      </c>
    </row>
    <row r="635" spans="2:9" x14ac:dyDescent="0.3">
      <c r="D635" s="48" t="str">
        <f>CONCATENATE(УЧРЕЖДЕНИЯ!$A$7)</f>
        <v>МХШ</v>
      </c>
      <c r="E635" s="99" t="s">
        <v>475</v>
      </c>
      <c r="F635" s="100">
        <v>131</v>
      </c>
      <c r="G635" s="100">
        <v>130</v>
      </c>
      <c r="H635" s="17" t="s">
        <v>192</v>
      </c>
      <c r="I635" s="100" t="str">
        <f>IF(OR(F635=152,F635=162,F635=510),IF((OR(LEFT(RIGHT(E635,13),1)={"A","D","E","F","G","I","L","N","P","R","S","T","V"})),"Ф",""),"")</f>
        <v/>
      </c>
    </row>
    <row r="636" spans="2:9" x14ac:dyDescent="0.3">
      <c r="D636" s="48" t="str">
        <f>CONCATENATE(УЧРЕЖДЕНИЯ!$A$7)</f>
        <v>МХШ</v>
      </c>
      <c r="E636" s="99" t="s">
        <v>476</v>
      </c>
      <c r="F636" s="100">
        <v>211</v>
      </c>
      <c r="G636" s="100">
        <v>111</v>
      </c>
      <c r="H636" s="17" t="s">
        <v>192</v>
      </c>
      <c r="I636" s="100" t="str">
        <f>IF(OR(F636=152,F636=162,F636=510),IF((OR(LEFT(RIGHT(E636,13),1)={"A","D","E","F","G","I","L","N","P","R","S","T","V"})),"Ф",""),"")</f>
        <v/>
      </c>
    </row>
    <row r="637" spans="2:9" x14ac:dyDescent="0.3">
      <c r="D637" s="48" t="str">
        <f>CONCATENATE(УЧРЕЖДЕНИЯ!$A$7)</f>
        <v>МХШ</v>
      </c>
      <c r="E637" s="99" t="s">
        <v>476</v>
      </c>
      <c r="F637" s="100">
        <v>266</v>
      </c>
      <c r="G637" s="100">
        <v>111</v>
      </c>
      <c r="H637" s="17" t="s">
        <v>192</v>
      </c>
      <c r="I637" s="100" t="str">
        <f>IF(OR(F637=152,F637=162,F637=510),IF((OR(LEFT(RIGHT(E637,13),1)={"A","D","E","F","G","I","L","N","P","R","S","T","V"})),"Ф",""),"")</f>
        <v/>
      </c>
    </row>
    <row r="638" spans="2:9" x14ac:dyDescent="0.3">
      <c r="D638" s="48" t="str">
        <f>CONCATENATE(УЧРЕЖДЕНИЯ!$A$7)</f>
        <v>МХШ</v>
      </c>
      <c r="E638" s="99" t="s">
        <v>477</v>
      </c>
      <c r="F638" s="100">
        <v>212</v>
      </c>
      <c r="G638" s="100">
        <v>112</v>
      </c>
      <c r="H638" s="17" t="s">
        <v>192</v>
      </c>
      <c r="I638" s="100" t="str">
        <f>IF(OR(F638=152,F638=162,F638=510),IF((OR(LEFT(RIGHT(E638,13),1)={"A","D","E","F","G","I","L","N","P","R","S","T","V"})),"Ф",""),"")</f>
        <v/>
      </c>
    </row>
    <row r="639" spans="2:9" x14ac:dyDescent="0.3">
      <c r="D639" s="48" t="str">
        <f>CONCATENATE(УЧРЕЖДЕНИЯ!$A$7)</f>
        <v>МХШ</v>
      </c>
      <c r="E639" s="99" t="s">
        <v>477</v>
      </c>
      <c r="F639" s="100">
        <v>226</v>
      </c>
      <c r="G639" s="100">
        <v>112</v>
      </c>
      <c r="H639" s="17" t="s">
        <v>192</v>
      </c>
      <c r="I639" s="100" t="str">
        <f>IF(OR(F639=152,F639=162,F639=510),IF((OR(LEFT(RIGHT(E639,13),1)={"A","D","E","F","G","I","L","N","P","R","S","T","V"})),"Ф",""),"")</f>
        <v/>
      </c>
    </row>
    <row r="640" spans="2:9" x14ac:dyDescent="0.3">
      <c r="D640" s="48" t="str">
        <f>CONCATENATE(УЧРЕЖДЕНИЯ!$A$7)</f>
        <v>МХШ</v>
      </c>
      <c r="E640" s="99" t="s">
        <v>477</v>
      </c>
      <c r="F640" s="100">
        <v>266</v>
      </c>
      <c r="G640" s="100">
        <v>112</v>
      </c>
      <c r="H640" s="17" t="s">
        <v>192</v>
      </c>
      <c r="I640" s="100" t="str">
        <f>IF(OR(F640=152,F640=162,F640=510),IF((OR(LEFT(RIGHT(E640,13),1)={"A","D","E","F","G","I","L","N","P","R","S","T","V"})),"Ф",""),"")</f>
        <v/>
      </c>
    </row>
    <row r="641" spans="4:9" x14ac:dyDescent="0.3">
      <c r="D641" s="48" t="str">
        <f>CONCATENATE(УЧРЕЖДЕНИЯ!$A$7)</f>
        <v>МХШ</v>
      </c>
      <c r="E641" s="99" t="s">
        <v>478</v>
      </c>
      <c r="F641" s="100">
        <v>213</v>
      </c>
      <c r="G641" s="100">
        <v>119</v>
      </c>
      <c r="H641" s="17" t="s">
        <v>192</v>
      </c>
      <c r="I641" s="100" t="str">
        <f>IF(OR(F641=152,F641=162,F641=510),IF((OR(LEFT(RIGHT(E641,13),1)={"A","D","E","F","G","I","L","N","P","R","S","T","V"})),"Ф",""),"")</f>
        <v/>
      </c>
    </row>
    <row r="642" spans="4:9" x14ac:dyDescent="0.3">
      <c r="D642" s="48" t="str">
        <f>CONCATENATE(УЧРЕЖДЕНИЯ!$A$7)</f>
        <v>МХШ</v>
      </c>
      <c r="E642" s="99" t="s">
        <v>479</v>
      </c>
      <c r="F642" s="100">
        <v>221</v>
      </c>
      <c r="G642" s="100">
        <v>244</v>
      </c>
      <c r="H642" s="17" t="s">
        <v>192</v>
      </c>
      <c r="I642" s="100" t="str">
        <f>IF(OR(F642=152,F642=162,F642=510),IF((OR(LEFT(RIGHT(E642,13),1)={"A","D","E","F","G","I","L","N","P","R","S","T","V"})),"Ф",""),"")</f>
        <v/>
      </c>
    </row>
    <row r="643" spans="4:9" x14ac:dyDescent="0.3">
      <c r="D643" s="48" t="str">
        <f>CONCATENATE(УЧРЕЖДЕНИЯ!$A$7)</f>
        <v>МХШ</v>
      </c>
      <c r="E643" s="99" t="s">
        <v>479</v>
      </c>
      <c r="F643" s="100">
        <v>222</v>
      </c>
      <c r="G643" s="100">
        <v>244</v>
      </c>
      <c r="H643" s="17" t="s">
        <v>192</v>
      </c>
      <c r="I643" s="100" t="str">
        <f>IF(OR(F643=152,F643=162,F643=510),IF((OR(LEFT(RIGHT(E643,13),1)={"A","D","E","F","G","I","L","N","P","R","S","T","V"})),"Ф",""),"")</f>
        <v/>
      </c>
    </row>
    <row r="644" spans="4:9" x14ac:dyDescent="0.3">
      <c r="D644" s="48" t="str">
        <f>CONCATENATE(УЧРЕЖДЕНИЯ!$A$7)</f>
        <v>МХШ</v>
      </c>
      <c r="E644" s="99" t="s">
        <v>480</v>
      </c>
      <c r="F644" s="100">
        <v>2233</v>
      </c>
      <c r="G644" s="100">
        <v>244</v>
      </c>
      <c r="H644" s="17" t="s">
        <v>192</v>
      </c>
      <c r="I644" s="100" t="str">
        <f>IF(OR(F644=152,F644=162,F644=510),IF((OR(LEFT(RIGHT(E644,13),1)={"A","D","E","F","G","I","L","N","P","R","S","T","V"})),"Ф",""),"")</f>
        <v/>
      </c>
    </row>
    <row r="645" spans="4:9" x14ac:dyDescent="0.3">
      <c r="D645" s="48" t="str">
        <f>CONCATENATE(УЧРЕЖДЕНИЯ!$A$7)</f>
        <v>МХШ</v>
      </c>
      <c r="E645" s="99" t="s">
        <v>668</v>
      </c>
      <c r="F645" s="100">
        <v>2234</v>
      </c>
      <c r="G645" s="100">
        <v>244</v>
      </c>
      <c r="H645" s="17" t="s">
        <v>192</v>
      </c>
      <c r="I645" s="100" t="str">
        <f>IF(OR(F645=152,F645=162,F645=510),IF((OR(LEFT(RIGHT(E645,13),1)={"A","D","E","F","G","I","L","N","P","R","S","T","V"})),"Ф",""),"")</f>
        <v/>
      </c>
    </row>
    <row r="646" spans="4:9" x14ac:dyDescent="0.3">
      <c r="D646" s="48" t="str">
        <f>CONCATENATE(УЧРЕЖДЕНИЯ!$A$7)</f>
        <v>МХШ</v>
      </c>
      <c r="E646" s="99" t="s">
        <v>479</v>
      </c>
      <c r="F646" s="100">
        <v>225</v>
      </c>
      <c r="G646" s="100">
        <v>244</v>
      </c>
      <c r="H646" s="17" t="s">
        <v>192</v>
      </c>
      <c r="I646" s="100" t="str">
        <f>IF(OR(F646=152,F646=162,F646=510),IF((OR(LEFT(RIGHT(E646,13),1)={"A","D","E","F","G","I","L","N","P","R","S","T","V"})),"Ф",""),"")</f>
        <v/>
      </c>
    </row>
    <row r="647" spans="4:9" x14ac:dyDescent="0.3">
      <c r="D647" s="48" t="str">
        <f>CONCATENATE(УЧРЕЖДЕНИЯ!$A$7)</f>
        <v>МХШ</v>
      </c>
      <c r="E647" s="99" t="s">
        <v>479</v>
      </c>
      <c r="F647" s="100">
        <v>226</v>
      </c>
      <c r="G647" s="100">
        <v>244</v>
      </c>
      <c r="H647" s="17" t="s">
        <v>192</v>
      </c>
      <c r="I647" s="100" t="str">
        <f>IF(OR(F647=152,F647=162,F647=510),IF((OR(LEFT(RIGHT(E647,13),1)={"A","D","E","F","G","I","L","N","P","R","S","T","V"})),"Ф",""),"")</f>
        <v/>
      </c>
    </row>
    <row r="648" spans="4:9" x14ac:dyDescent="0.3">
      <c r="D648" s="48" t="str">
        <f>CONCATENATE(УЧРЕЖДЕНИЯ!$A$7)</f>
        <v>МХШ</v>
      </c>
      <c r="E648" s="99" t="s">
        <v>479</v>
      </c>
      <c r="F648" s="100">
        <v>310</v>
      </c>
      <c r="G648" s="100">
        <v>244</v>
      </c>
      <c r="H648" s="17" t="s">
        <v>192</v>
      </c>
      <c r="I648" s="100" t="str">
        <f>IF(OR(F648=152,F648=162,F648=510),IF((OR(LEFT(RIGHT(E648,13),1)={"A","D","E","F","G","I","L","N","P","R","S","T","V"})),"Ф",""),"")</f>
        <v/>
      </c>
    </row>
    <row r="649" spans="4:9" x14ac:dyDescent="0.3">
      <c r="D649" s="48" t="str">
        <f>CONCATENATE(УЧРЕЖДЕНИЯ!$A$7)</f>
        <v>МХШ</v>
      </c>
      <c r="E649" s="99" t="s">
        <v>479</v>
      </c>
      <c r="F649" s="100">
        <v>341</v>
      </c>
      <c r="G649" s="100">
        <v>244</v>
      </c>
      <c r="H649" s="17" t="s">
        <v>192</v>
      </c>
      <c r="I649" s="100" t="str">
        <f>IF(OR(F649=152,F649=162,F649=510),IF((OR(LEFT(RIGHT(E649,13),1)={"A","D","E","F","G","I","L","N","P","R","S","T","V"})),"Ф",""),"")</f>
        <v/>
      </c>
    </row>
    <row r="650" spans="4:9" x14ac:dyDescent="0.3">
      <c r="D650" s="48" t="str">
        <f>CONCATENATE(УЧРЕЖДЕНИЯ!$A$7)</f>
        <v>МХШ</v>
      </c>
      <c r="E650" s="99" t="s">
        <v>479</v>
      </c>
      <c r="F650" s="100">
        <v>344</v>
      </c>
      <c r="G650" s="100">
        <v>244</v>
      </c>
      <c r="H650" s="17" t="s">
        <v>192</v>
      </c>
      <c r="I650" s="100" t="str">
        <f>IF(OR(F650=152,F650=162,F650=510),IF((OR(LEFT(RIGHT(E650,13),1)={"A","D","E","F","G","I","L","N","P","R","S","T","V"})),"Ф",""),"")</f>
        <v/>
      </c>
    </row>
    <row r="651" spans="4:9" x14ac:dyDescent="0.3">
      <c r="D651" s="48" t="str">
        <f>CONCATENATE(УЧРЕЖДЕНИЯ!$A$7)</f>
        <v>МХШ</v>
      </c>
      <c r="E651" s="99" t="s">
        <v>479</v>
      </c>
      <c r="F651" s="100">
        <v>345</v>
      </c>
      <c r="G651" s="100">
        <v>244</v>
      </c>
      <c r="H651" s="17" t="s">
        <v>192</v>
      </c>
      <c r="I651" s="100" t="str">
        <f>IF(OR(F651=152,F651=162,F651=510),IF((OR(LEFT(RIGHT(E651,13),1)={"A","D","E","F","G","I","L","N","P","R","S","T","V"})),"Ф",""),"")</f>
        <v/>
      </c>
    </row>
    <row r="652" spans="4:9" x14ac:dyDescent="0.3">
      <c r="D652" s="48" t="str">
        <f>CONCATENATE(УЧРЕЖДЕНИЯ!$A$7)</f>
        <v>МХШ</v>
      </c>
      <c r="E652" s="99" t="s">
        <v>479</v>
      </c>
      <c r="F652" s="100">
        <v>346</v>
      </c>
      <c r="G652" s="100">
        <v>244</v>
      </c>
      <c r="H652" s="17" t="s">
        <v>192</v>
      </c>
      <c r="I652" s="100" t="str">
        <f>IF(OR(F652=152,F652=162,F652=510),IF((OR(LEFT(RIGHT(E652,13),1)={"A","D","E","F","G","I","L","N","P","R","S","T","V"})),"Ф",""),"")</f>
        <v/>
      </c>
    </row>
    <row r="653" spans="4:9" x14ac:dyDescent="0.3">
      <c r="D653" s="48" t="str">
        <f>CONCATENATE(УЧРЕЖДЕНИЯ!$A$7)</f>
        <v>МХШ</v>
      </c>
      <c r="E653" s="99" t="s">
        <v>479</v>
      </c>
      <c r="F653" s="100">
        <v>349</v>
      </c>
      <c r="G653" s="100">
        <v>244</v>
      </c>
      <c r="H653" s="17" t="s">
        <v>192</v>
      </c>
      <c r="I653" s="100" t="str">
        <f>IF(OR(F653=152,F653=162,F653=510),IF((OR(LEFT(RIGHT(E653,13),1)={"A","D","E","F","G","I","L","N","P","R","S","T","V"})),"Ф",""),"")</f>
        <v/>
      </c>
    </row>
    <row r="654" spans="4:9" x14ac:dyDescent="0.3">
      <c r="D654" s="48" t="str">
        <f>CONCATENATE(УЧРЕЖДЕНИЯ!$A$7)</f>
        <v>МХШ</v>
      </c>
      <c r="E654" s="99" t="s">
        <v>690</v>
      </c>
      <c r="F654" s="100">
        <v>2231</v>
      </c>
      <c r="G654" s="100">
        <v>247</v>
      </c>
      <c r="H654" s="17" t="s">
        <v>192</v>
      </c>
      <c r="I654" s="100" t="str">
        <f>IF(OR(F654=152,F654=162,F654=510),IF((OR(LEFT(RIGHT(E654,13),1)={"A","D","E","F","G","I","L","N","P","R","S","T","V"})),"Ф",""),"")</f>
        <v/>
      </c>
    </row>
    <row r="655" spans="4:9" x14ac:dyDescent="0.3">
      <c r="D655" s="48" t="str">
        <f>CONCATENATE(УЧРЕЖДЕНИЯ!$A$7)</f>
        <v>МХШ</v>
      </c>
      <c r="E655" s="99" t="s">
        <v>701</v>
      </c>
      <c r="F655" s="100">
        <v>2232</v>
      </c>
      <c r="G655" s="100">
        <v>247</v>
      </c>
      <c r="H655" s="17" t="s">
        <v>192</v>
      </c>
      <c r="I655" s="100" t="str">
        <f>IF(OR(F655=152,F655=162,F655=510),IF((OR(LEFT(RIGHT(E655,13),1)={"A","D","E","F","G","I","L","N","P","R","S","T","V"})),"Ф",""),"")</f>
        <v/>
      </c>
    </row>
    <row r="656" spans="4:9" x14ac:dyDescent="0.3">
      <c r="D656" s="48" t="str">
        <f>CONCATENATE(УЧРЕЖДЕНИЯ!$A$7)</f>
        <v>МХШ</v>
      </c>
      <c r="E656" s="99" t="s">
        <v>474</v>
      </c>
      <c r="F656" s="100">
        <v>510</v>
      </c>
      <c r="G656" s="100">
        <v>510</v>
      </c>
      <c r="H656" s="17" t="s">
        <v>192</v>
      </c>
      <c r="I656" s="100" t="str">
        <f>IF(OR(F656=152,F656=162,F656=510),IF((OR(LEFT(RIGHT(E656,13),1)={"A","D","E","F","G","I","L","N","P","R","S","T","V"})),"Ф",""),"")</f>
        <v/>
      </c>
    </row>
    <row r="657" spans="2:9" x14ac:dyDescent="0.3">
      <c r="D657" s="48" t="str">
        <f>CONCATENATE(УЧРЕЖДЕНИЯ!$A$7)</f>
        <v>МХШ</v>
      </c>
      <c r="E657" s="99" t="s">
        <v>847</v>
      </c>
      <c r="F657" s="100">
        <v>610</v>
      </c>
      <c r="G657" s="100">
        <v>610</v>
      </c>
      <c r="H657" s="17" t="s">
        <v>192</v>
      </c>
      <c r="I657" s="100" t="str">
        <f>IF(OR(F657=152,F657=162,F657=510),IF((OR(LEFT(RIGHT(E657,13),1)={"A","D","E","F","G","I","L","N","P","R","S","T","V"})),"Ф",""),"")</f>
        <v/>
      </c>
    </row>
    <row r="658" spans="2:9" x14ac:dyDescent="0.3">
      <c r="D658" s="48" t="str">
        <f>CONCATENATE(УЧРЕЖДЕНИЯ!$A$7)</f>
        <v>МХШ</v>
      </c>
      <c r="E658" s="99" t="s">
        <v>481</v>
      </c>
      <c r="F658" s="100">
        <v>291</v>
      </c>
      <c r="G658" s="100">
        <v>851</v>
      </c>
      <c r="H658" s="17" t="s">
        <v>192</v>
      </c>
      <c r="I658" s="100" t="str">
        <f>IF(OR(F658=152,F658=162,F658=510),IF((OR(LEFT(RIGHT(E658,13),1)={"A","D","E","F","G","I","L","N","P","R","S","T","V"})),"Ф",""),"")</f>
        <v/>
      </c>
    </row>
    <row r="659" spans="2:9" x14ac:dyDescent="0.3">
      <c r="D659" s="48" t="str">
        <f>CONCATENATE(УЧРЕЖДЕНИЯ!$A$7)</f>
        <v>МХШ</v>
      </c>
      <c r="E659" s="99" t="s">
        <v>482</v>
      </c>
      <c r="F659" s="100">
        <v>291</v>
      </c>
      <c r="G659" s="100">
        <v>853</v>
      </c>
      <c r="H659" s="17" t="s">
        <v>192</v>
      </c>
      <c r="I659" s="100" t="str">
        <f>IF(OR(F659=152,F659=162,F659=510),IF((OR(LEFT(RIGHT(E659,13),1)={"A","D","E","F","G","I","L","N","P","R","S","T","V"})),"Ф",""),"")</f>
        <v/>
      </c>
    </row>
    <row r="660" spans="2:9" x14ac:dyDescent="0.3">
      <c r="D660" s="48" t="str">
        <f>CONCATENATE(УЧРЕЖДЕНИЯ!$A$7)</f>
        <v>МХШ</v>
      </c>
      <c r="E660" s="99" t="s">
        <v>482</v>
      </c>
      <c r="F660" s="100">
        <v>293</v>
      </c>
      <c r="G660" s="100">
        <v>853</v>
      </c>
      <c r="H660" s="17" t="s">
        <v>192</v>
      </c>
      <c r="I660" s="100" t="str">
        <f>IF(OR(F660=152,F660=162,F660=510),IF((OR(LEFT(RIGHT(E660,13),1)={"A","D","E","F","G","I","L","N","P","R","S","T","V"})),"Ф",""),"")</f>
        <v/>
      </c>
    </row>
    <row r="661" spans="2:9" x14ac:dyDescent="0.3">
      <c r="D661" s="48" t="str">
        <f>CONCATENATE(УЧРЕЖДЕНИЯ!$A$7)</f>
        <v>МХШ</v>
      </c>
      <c r="E661" s="99" t="s">
        <v>484</v>
      </c>
      <c r="F661" s="100">
        <v>131</v>
      </c>
      <c r="G661" s="100">
        <v>130</v>
      </c>
      <c r="H661" s="17" t="s">
        <v>192</v>
      </c>
      <c r="I661" s="100" t="str">
        <f>IF(OR(F661=152,F661=162,F661=510),IF((OR(LEFT(RIGHT(E661,13),1)={"A","D","E","F","G","I","L","N","P","R","S","T","V"})),"Ф",""),"")</f>
        <v/>
      </c>
    </row>
    <row r="662" spans="2:9" x14ac:dyDescent="0.3">
      <c r="D662" s="48" t="str">
        <f>CONCATENATE(УЧРЕЖДЕНИЯ!$A$7)</f>
        <v>МХШ</v>
      </c>
      <c r="E662" s="99" t="s">
        <v>485</v>
      </c>
      <c r="F662" s="100">
        <v>211</v>
      </c>
      <c r="G662" s="100">
        <v>111</v>
      </c>
      <c r="H662" s="17" t="s">
        <v>192</v>
      </c>
      <c r="I662" s="100" t="str">
        <f>IF(OR(F662=152,F662=162,F662=510),IF((OR(LEFT(RIGHT(E662,13),1)={"A","D","E","F","G","I","L","N","P","R","S","T","V"})),"Ф",""),"")</f>
        <v/>
      </c>
    </row>
    <row r="663" spans="2:9" x14ac:dyDescent="0.3">
      <c r="D663" s="48" t="str">
        <f>CONCATENATE(УЧРЕЖДЕНИЯ!$A$7)</f>
        <v>МХШ</v>
      </c>
      <c r="E663" s="99" t="s">
        <v>486</v>
      </c>
      <c r="F663" s="100">
        <v>213</v>
      </c>
      <c r="G663" s="100">
        <v>119</v>
      </c>
      <c r="H663" s="17" t="s">
        <v>192</v>
      </c>
      <c r="I663" s="100" t="str">
        <f>IF(OR(F663=152,F663=162,F663=510),IF((OR(LEFT(RIGHT(E663,13),1)={"A","D","E","F","G","I","L","N","P","R","S","T","V"})),"Ф",""),"")</f>
        <v/>
      </c>
    </row>
    <row r="664" spans="2:9" x14ac:dyDescent="0.3">
      <c r="D664" s="48" t="str">
        <f>CONCATENATE(УЧРЕЖДЕНИЯ!$A$7)</f>
        <v>МХШ</v>
      </c>
      <c r="E664" s="99" t="s">
        <v>483</v>
      </c>
      <c r="F664" s="100">
        <v>510</v>
      </c>
      <c r="G664" s="100">
        <v>510</v>
      </c>
      <c r="H664" s="17" t="s">
        <v>192</v>
      </c>
      <c r="I664" s="100" t="str">
        <f>IF(OR(F664=152,F664=162,F664=510),IF((OR(LEFT(RIGHT(E664,13),1)={"A","D","E","F","G","I","L","N","P","R","S","T","V"})),"Ф",""),"")</f>
        <v/>
      </c>
    </row>
    <row r="665" spans="2:9" x14ac:dyDescent="0.3">
      <c r="B665" s="48" t="s">
        <v>739</v>
      </c>
      <c r="C665" s="48" t="s">
        <v>134</v>
      </c>
      <c r="D665" s="48" t="str">
        <f>CONCATENATE(УЧРЕЖДЕНИЯ!$A$8)</f>
        <v>ЦБС</v>
      </c>
      <c r="E665" s="99" t="s">
        <v>488</v>
      </c>
      <c r="F665" s="100">
        <v>131</v>
      </c>
      <c r="G665" s="100">
        <v>130</v>
      </c>
      <c r="H665" s="17" t="s">
        <v>196</v>
      </c>
      <c r="I665" s="100" t="str">
        <f>IF(OR(F665=152,F665=162,F665=510),IF((OR(LEFT(RIGHT(E665,13),1)={"A","D","E","F","G","I","L","N","P","R","S","T","V"})),"Ф",""),"")</f>
        <v/>
      </c>
    </row>
    <row r="666" spans="2:9" x14ac:dyDescent="0.3">
      <c r="D666" s="48" t="str">
        <f>CONCATENATE(УЧРЕЖДЕНИЯ!$A$8)</f>
        <v>ЦБС</v>
      </c>
      <c r="E666" s="99" t="s">
        <v>489</v>
      </c>
      <c r="F666" s="100">
        <v>211</v>
      </c>
      <c r="G666" s="100">
        <v>111</v>
      </c>
      <c r="H666" s="17" t="s">
        <v>196</v>
      </c>
      <c r="I666" s="100" t="str">
        <f>IF(OR(F666=152,F666=162,F666=510),IF((OR(LEFT(RIGHT(E666,13),1)={"A","D","E","F","G","I","L","N","P","R","S","T","V"})),"Ф",""),"")</f>
        <v/>
      </c>
    </row>
    <row r="667" spans="2:9" x14ac:dyDescent="0.3">
      <c r="D667" s="48" t="str">
        <f>CONCATENATE(УЧРЕЖДЕНИЯ!$A$8)</f>
        <v>ЦБС</v>
      </c>
      <c r="E667" s="99" t="s">
        <v>489</v>
      </c>
      <c r="F667" s="100">
        <v>266</v>
      </c>
      <c r="G667" s="100">
        <v>111</v>
      </c>
      <c r="H667" s="17" t="s">
        <v>196</v>
      </c>
      <c r="I667" s="100" t="str">
        <f>IF(OR(F667=152,F667=162,F667=510),IF((OR(LEFT(RIGHT(E667,13),1)={"A","D","E","F","G","I","L","N","P","R","S","T","V"})),"Ф",""),"")</f>
        <v/>
      </c>
    </row>
    <row r="668" spans="2:9" x14ac:dyDescent="0.3">
      <c r="D668" s="48" t="str">
        <f>CONCATENATE(УЧРЕЖДЕНИЯ!$A$8)</f>
        <v>ЦБС</v>
      </c>
      <c r="E668" s="99" t="s">
        <v>490</v>
      </c>
      <c r="F668" s="100">
        <v>212</v>
      </c>
      <c r="G668" s="100">
        <v>112</v>
      </c>
      <c r="H668" s="17" t="s">
        <v>196</v>
      </c>
      <c r="I668" s="100" t="str">
        <f>IF(OR(F668=152,F668=162,F668=510),IF((OR(LEFT(RIGHT(E668,13),1)={"A","D","E","F","G","I","L","N","P","R","S","T","V"})),"Ф",""),"")</f>
        <v/>
      </c>
    </row>
    <row r="669" spans="2:9" x14ac:dyDescent="0.3">
      <c r="D669" s="48" t="str">
        <f>CONCATENATE(УЧРЕЖДЕНИЯ!$A$8)</f>
        <v>ЦБС</v>
      </c>
      <c r="E669" s="99" t="s">
        <v>490</v>
      </c>
      <c r="F669" s="100">
        <v>226</v>
      </c>
      <c r="G669" s="100">
        <v>112</v>
      </c>
      <c r="H669" s="17" t="s">
        <v>196</v>
      </c>
      <c r="I669" s="100" t="str">
        <f>IF(OR(F669=152,F669=162,F669=510),IF((OR(LEFT(RIGHT(E669,13),1)={"A","D","E","F","G","I","L","N","P","R","S","T","V"})),"Ф",""),"")</f>
        <v/>
      </c>
    </row>
    <row r="670" spans="2:9" x14ac:dyDescent="0.3">
      <c r="D670" s="48" t="str">
        <f>CONCATENATE(УЧРЕЖДЕНИЯ!$A$8)</f>
        <v>ЦБС</v>
      </c>
      <c r="E670" s="99" t="s">
        <v>490</v>
      </c>
      <c r="F670" s="100">
        <v>266</v>
      </c>
      <c r="G670" s="100">
        <v>112</v>
      </c>
      <c r="H670" s="17" t="s">
        <v>196</v>
      </c>
      <c r="I670" s="100" t="str">
        <f>IF(OR(F670=152,F670=162,F670=510),IF((OR(LEFT(RIGHT(E670,13),1)={"A","D","E","F","G","I","L","N","P","R","S","T","V"})),"Ф",""),"")</f>
        <v/>
      </c>
    </row>
    <row r="671" spans="2:9" x14ac:dyDescent="0.3">
      <c r="D671" s="48" t="str">
        <f>CONCATENATE(УЧРЕЖДЕНИЯ!$A$8)</f>
        <v>ЦБС</v>
      </c>
      <c r="E671" s="99" t="s">
        <v>491</v>
      </c>
      <c r="F671" s="100">
        <v>213</v>
      </c>
      <c r="G671" s="100">
        <v>119</v>
      </c>
      <c r="H671" s="17" t="s">
        <v>196</v>
      </c>
      <c r="I671" s="100" t="str">
        <f>IF(OR(F671=152,F671=162,F671=510),IF((OR(LEFT(RIGHT(E671,13),1)={"A","D","E","F","G","I","L","N","P","R","S","T","V"})),"Ф",""),"")</f>
        <v/>
      </c>
    </row>
    <row r="672" spans="2:9" x14ac:dyDescent="0.3">
      <c r="D672" s="48" t="str">
        <f>CONCATENATE(УЧРЕЖДЕНИЯ!$A$8)</f>
        <v>ЦБС</v>
      </c>
      <c r="E672" s="99" t="s">
        <v>492</v>
      </c>
      <c r="F672" s="100">
        <v>221</v>
      </c>
      <c r="G672" s="100">
        <v>244</v>
      </c>
      <c r="H672" s="17" t="s">
        <v>196</v>
      </c>
      <c r="I672" s="100" t="str">
        <f>IF(OR(F672=152,F672=162,F672=510),IF((OR(LEFT(RIGHT(E672,13),1)={"A","D","E","F","G","I","L","N","P","R","S","T","V"})),"Ф",""),"")</f>
        <v/>
      </c>
    </row>
    <row r="673" spans="4:9" x14ac:dyDescent="0.3">
      <c r="D673" s="48" t="str">
        <f>CONCATENATE(УЧРЕЖДЕНИЯ!$A$8)</f>
        <v>ЦБС</v>
      </c>
      <c r="E673" s="99" t="s">
        <v>492</v>
      </c>
      <c r="F673" s="100">
        <v>222</v>
      </c>
      <c r="G673" s="100">
        <v>244</v>
      </c>
      <c r="H673" s="17" t="s">
        <v>196</v>
      </c>
      <c r="I673" s="100" t="str">
        <f>IF(OR(F673=152,F673=162,F673=510),IF((OR(LEFT(RIGHT(E673,13),1)={"A","D","E","F","G","I","L","N","P","R","S","T","V"})),"Ф",""),"")</f>
        <v/>
      </c>
    </row>
    <row r="674" spans="4:9" x14ac:dyDescent="0.3">
      <c r="D674" s="48" t="str">
        <f>CONCATENATE(УЧРЕЖДЕНИЯ!$A$8)</f>
        <v>ЦБС</v>
      </c>
      <c r="E674" s="99" t="s">
        <v>816</v>
      </c>
      <c r="F674" s="100">
        <v>2232</v>
      </c>
      <c r="G674" s="100">
        <v>244</v>
      </c>
      <c r="H674" s="17" t="s">
        <v>196</v>
      </c>
      <c r="I674" s="100" t="str">
        <f>IF(OR(F674=152,F674=162,F674=510),IF((OR(LEFT(RIGHT(E674,13),1)={"A","D","E","F","G","I","L","N","P","R","S","T","V"})),"Ф",""),"")</f>
        <v/>
      </c>
    </row>
    <row r="675" spans="4:9" x14ac:dyDescent="0.3">
      <c r="D675" s="48" t="str">
        <f>CONCATENATE(УЧРЕЖДЕНИЯ!$A$8)</f>
        <v>ЦБС</v>
      </c>
      <c r="E675" s="99" t="s">
        <v>493</v>
      </c>
      <c r="F675" s="100">
        <v>2233</v>
      </c>
      <c r="G675" s="100">
        <v>244</v>
      </c>
      <c r="H675" s="17" t="s">
        <v>196</v>
      </c>
      <c r="I675" s="100" t="str">
        <f>IF(OR(F675=152,F675=162,F675=510),IF((OR(LEFT(RIGHT(E675,13),1)={"A","D","E","F","G","I","L","N","P","R","S","T","V"})),"Ф",""),"")</f>
        <v/>
      </c>
    </row>
    <row r="676" spans="4:9" x14ac:dyDescent="0.3">
      <c r="D676" s="48" t="str">
        <f>CONCATENATE(УЧРЕЖДЕНИЯ!$A$8)</f>
        <v>ЦБС</v>
      </c>
      <c r="E676" s="99" t="s">
        <v>669</v>
      </c>
      <c r="F676" s="100">
        <v>2234</v>
      </c>
      <c r="G676" s="100">
        <v>244</v>
      </c>
      <c r="H676" s="17" t="s">
        <v>196</v>
      </c>
      <c r="I676" s="100" t="str">
        <f>IF(OR(F676=152,F676=162,F676=510),IF((OR(LEFT(RIGHT(E676,13),1)={"A","D","E","F","G","I","L","N","P","R","S","T","V"})),"Ф",""),"")</f>
        <v/>
      </c>
    </row>
    <row r="677" spans="4:9" x14ac:dyDescent="0.3">
      <c r="D677" s="48" t="str">
        <f>CONCATENATE(УЧРЕЖДЕНИЯ!$A$8)</f>
        <v>ЦБС</v>
      </c>
      <c r="E677" s="99" t="s">
        <v>492</v>
      </c>
      <c r="F677" s="100">
        <v>225</v>
      </c>
      <c r="G677" s="100">
        <v>244</v>
      </c>
      <c r="H677" s="17" t="s">
        <v>196</v>
      </c>
      <c r="I677" s="100" t="str">
        <f>IF(OR(F677=152,F677=162,F677=510),IF((OR(LEFT(RIGHT(E677,13),1)={"A","D","E","F","G","I","L","N","P","R","S","T","V"})),"Ф",""),"")</f>
        <v/>
      </c>
    </row>
    <row r="678" spans="4:9" x14ac:dyDescent="0.3">
      <c r="D678" s="48" t="str">
        <f>CONCATENATE(УЧРЕЖДЕНИЯ!$A$8)</f>
        <v>ЦБС</v>
      </c>
      <c r="E678" s="99" t="s">
        <v>492</v>
      </c>
      <c r="F678" s="100">
        <v>226</v>
      </c>
      <c r="G678" s="100">
        <v>244</v>
      </c>
      <c r="H678" s="17" t="s">
        <v>196</v>
      </c>
      <c r="I678" s="100" t="str">
        <f>IF(OR(F678=152,F678=162,F678=510),IF((OR(LEFT(RIGHT(E678,13),1)={"A","D","E","F","G","I","L","N","P","R","S","T","V"})),"Ф",""),"")</f>
        <v/>
      </c>
    </row>
    <row r="679" spans="4:9" x14ac:dyDescent="0.3">
      <c r="D679" s="48" t="str">
        <f>CONCATENATE(УЧРЕЖДЕНИЯ!$A$8)</f>
        <v>ЦБС</v>
      </c>
      <c r="E679" s="99" t="s">
        <v>492</v>
      </c>
      <c r="F679" s="100">
        <v>296</v>
      </c>
      <c r="G679" s="100">
        <v>244</v>
      </c>
      <c r="H679" s="17" t="s">
        <v>196</v>
      </c>
      <c r="I679" s="100" t="str">
        <f>IF(OR(F679=152,F679=162,F679=510),IF((OR(LEFT(RIGHT(E679,13),1)={"A","D","E","F","G","I","L","N","P","R","S","T","V"})),"Ф",""),"")</f>
        <v/>
      </c>
    </row>
    <row r="680" spans="4:9" x14ac:dyDescent="0.3">
      <c r="D680" s="48" t="str">
        <f>CONCATENATE(УЧРЕЖДЕНИЯ!$A$8)</f>
        <v>ЦБС</v>
      </c>
      <c r="E680" s="99" t="s">
        <v>492</v>
      </c>
      <c r="F680" s="100">
        <v>310</v>
      </c>
      <c r="G680" s="100">
        <v>244</v>
      </c>
      <c r="H680" s="17" t="s">
        <v>196</v>
      </c>
      <c r="I680" s="100" t="str">
        <f>IF(OR(F680=152,F680=162,F680=510),IF((OR(LEFT(RIGHT(E680,13),1)={"A","D","E","F","G","I","L","N","P","R","S","T","V"})),"Ф",""),"")</f>
        <v/>
      </c>
    </row>
    <row r="681" spans="4:9" x14ac:dyDescent="0.3">
      <c r="D681" s="48" t="str">
        <f>CONCATENATE(УЧРЕЖДЕНИЯ!$A$8)</f>
        <v>ЦБС</v>
      </c>
      <c r="E681" s="99" t="s">
        <v>492</v>
      </c>
      <c r="F681" s="100">
        <v>341</v>
      </c>
      <c r="G681" s="100">
        <v>244</v>
      </c>
      <c r="H681" s="17" t="s">
        <v>196</v>
      </c>
      <c r="I681" s="100" t="str">
        <f>IF(OR(F681=152,F681=162,F681=510),IF((OR(LEFT(RIGHT(E681,13),1)={"A","D","E","F","G","I","L","N","P","R","S","T","V"})),"Ф",""),"")</f>
        <v/>
      </c>
    </row>
    <row r="682" spans="4:9" x14ac:dyDescent="0.3">
      <c r="D682" s="48" t="str">
        <f>CONCATENATE(УЧРЕЖДЕНИЯ!$A$8)</f>
        <v>ЦБС</v>
      </c>
      <c r="E682" s="99" t="s">
        <v>492</v>
      </c>
      <c r="F682" s="100">
        <v>343</v>
      </c>
      <c r="G682" s="100">
        <v>244</v>
      </c>
      <c r="H682" s="17" t="s">
        <v>196</v>
      </c>
      <c r="I682" s="100" t="str">
        <f>IF(OR(F682=152,F682=162,F682=510),IF((OR(LEFT(RIGHT(E682,13),1)={"A","D","E","F","G","I","L","N","P","R","S","T","V"})),"Ф",""),"")</f>
        <v/>
      </c>
    </row>
    <row r="683" spans="4:9" x14ac:dyDescent="0.3">
      <c r="D683" s="48" t="str">
        <f>CONCATENATE(УЧРЕЖДЕНИЯ!$A$8)</f>
        <v>ЦБС</v>
      </c>
      <c r="E683" s="99" t="s">
        <v>492</v>
      </c>
      <c r="F683" s="100">
        <v>344</v>
      </c>
      <c r="G683" s="100">
        <v>244</v>
      </c>
      <c r="H683" s="17" t="s">
        <v>196</v>
      </c>
      <c r="I683" s="100" t="str">
        <f>IF(OR(F683=152,F683=162,F683=510),IF((OR(LEFT(RIGHT(E683,13),1)={"A","D","E","F","G","I","L","N","P","R","S","T","V"})),"Ф",""),"")</f>
        <v/>
      </c>
    </row>
    <row r="684" spans="4:9" x14ac:dyDescent="0.3">
      <c r="D684" s="48" t="str">
        <f>CONCATENATE(УЧРЕЖДЕНИЯ!$A$8)</f>
        <v>ЦБС</v>
      </c>
      <c r="E684" s="99" t="s">
        <v>492</v>
      </c>
      <c r="F684" s="100">
        <v>345</v>
      </c>
      <c r="G684" s="100">
        <v>244</v>
      </c>
      <c r="H684" s="17" t="s">
        <v>196</v>
      </c>
      <c r="I684" s="100" t="str">
        <f>IF(OR(F684=152,F684=162,F684=510),IF((OR(LEFT(RIGHT(E684,13),1)={"A","D","E","F","G","I","L","N","P","R","S","T","V"})),"Ф",""),"")</f>
        <v/>
      </c>
    </row>
    <row r="685" spans="4:9" x14ac:dyDescent="0.3">
      <c r="D685" s="48" t="str">
        <f>CONCATENATE(УЧРЕЖДЕНИЯ!$A$8)</f>
        <v>ЦБС</v>
      </c>
      <c r="E685" s="99" t="s">
        <v>492</v>
      </c>
      <c r="F685" s="100">
        <v>346</v>
      </c>
      <c r="G685" s="100">
        <v>244</v>
      </c>
      <c r="H685" s="17" t="s">
        <v>196</v>
      </c>
      <c r="I685" s="100" t="str">
        <f>IF(OR(F685=152,F685=162,F685=510),IF((OR(LEFT(RIGHT(E685,13),1)={"A","D","E","F","G","I","L","N","P","R","S","T","V"})),"Ф",""),"")</f>
        <v/>
      </c>
    </row>
    <row r="686" spans="4:9" x14ac:dyDescent="0.3">
      <c r="D686" s="48" t="str">
        <f>CONCATENATE(УЧРЕЖДЕНИЯ!$A$8)</f>
        <v>ЦБС</v>
      </c>
      <c r="E686" s="99" t="s">
        <v>492</v>
      </c>
      <c r="F686" s="100">
        <v>349</v>
      </c>
      <c r="G686" s="100">
        <v>244</v>
      </c>
      <c r="H686" s="17" t="s">
        <v>196</v>
      </c>
      <c r="I686" s="100" t="str">
        <f>IF(OR(F686=152,F686=162,F686=510),IF((OR(LEFT(RIGHT(E686,13),1)={"A","D","E","F","G","I","L","N","P","R","S","T","V"})),"Ф",""),"")</f>
        <v/>
      </c>
    </row>
    <row r="687" spans="4:9" x14ac:dyDescent="0.3">
      <c r="D687" s="48" t="str">
        <f>CONCATENATE(УЧРЕЖДЕНИЯ!$A$8)</f>
        <v>ЦБС</v>
      </c>
      <c r="E687" s="99" t="s">
        <v>691</v>
      </c>
      <c r="F687" s="100">
        <v>2231</v>
      </c>
      <c r="G687" s="100">
        <v>247</v>
      </c>
      <c r="H687" s="17" t="s">
        <v>196</v>
      </c>
      <c r="I687" s="100" t="str">
        <f>IF(OR(F687=152,F687=162,F687=510),IF((OR(LEFT(RIGHT(E687,13),1)={"A","D","E","F","G","I","L","N","P","R","S","T","V"})),"Ф",""),"")</f>
        <v/>
      </c>
    </row>
    <row r="688" spans="4:9" x14ac:dyDescent="0.3">
      <c r="D688" s="48" t="str">
        <f>CONCATENATE(УЧРЕЖДЕНИЯ!$A$8)</f>
        <v>ЦБС</v>
      </c>
      <c r="E688" s="99" t="s">
        <v>702</v>
      </c>
      <c r="F688" s="100">
        <v>2232</v>
      </c>
      <c r="G688" s="100">
        <v>247</v>
      </c>
      <c r="H688" s="17" t="s">
        <v>196</v>
      </c>
      <c r="I688" s="100" t="str">
        <f>IF(OR(F688=152,F688=162,F688=510),IF((OR(LEFT(RIGHT(E688,13),1)={"A","D","E","F","G","I","L","N","P","R","S","T","V"})),"Ф",""),"")</f>
        <v/>
      </c>
    </row>
    <row r="689" spans="2:9" x14ac:dyDescent="0.3">
      <c r="D689" s="48" t="str">
        <f>CONCATENATE(УЧРЕЖДЕНИЯ!$A$8)</f>
        <v>ЦБС</v>
      </c>
      <c r="E689" s="99" t="s">
        <v>487</v>
      </c>
      <c r="F689" s="100">
        <v>510</v>
      </c>
      <c r="G689" s="100">
        <v>510</v>
      </c>
      <c r="H689" s="17" t="s">
        <v>196</v>
      </c>
      <c r="I689" s="100" t="str">
        <f>IF(OR(F689=152,F689=162,F689=510),IF((OR(LEFT(RIGHT(E689,13),1)={"A","D","E","F","G","I","L","N","P","R","S","T","V"})),"Ф",""),"")</f>
        <v/>
      </c>
    </row>
    <row r="690" spans="2:9" x14ac:dyDescent="0.3">
      <c r="D690" s="48" t="str">
        <f>CONCATENATE(УЧРЕЖДЕНИЯ!$A$8)</f>
        <v>ЦБС</v>
      </c>
      <c r="E690" s="99" t="s">
        <v>845</v>
      </c>
      <c r="F690" s="100">
        <v>610</v>
      </c>
      <c r="G690" s="100">
        <v>610</v>
      </c>
      <c r="H690" s="17" t="s">
        <v>196</v>
      </c>
      <c r="I690" s="100" t="str">
        <f>IF(OR(F690=152,F690=162,F690=510),IF((OR(LEFT(RIGHT(E690,13),1)={"A","D","E","F","G","I","L","N","P","R","S","T","V"})),"Ф",""),"")</f>
        <v/>
      </c>
    </row>
    <row r="691" spans="2:9" x14ac:dyDescent="0.3">
      <c r="D691" s="48" t="str">
        <f>CONCATENATE(УЧРЕЖДЕНИЯ!$A$8)</f>
        <v>ЦБС</v>
      </c>
      <c r="E691" s="99" t="s">
        <v>494</v>
      </c>
      <c r="F691" s="100">
        <v>296</v>
      </c>
      <c r="G691" s="100">
        <v>831</v>
      </c>
      <c r="H691" s="17" t="s">
        <v>196</v>
      </c>
      <c r="I691" s="100" t="str">
        <f>IF(OR(F691=152,F691=162,F691=510),IF((OR(LEFT(RIGHT(E691,13),1)={"A","D","E","F","G","I","L","N","P","R","S","T","V"})),"Ф",""),"")</f>
        <v/>
      </c>
    </row>
    <row r="692" spans="2:9" x14ac:dyDescent="0.3">
      <c r="D692" s="48" t="str">
        <f>CONCATENATE(УЧРЕЖДЕНИЯ!$A$8)</f>
        <v>ЦБС</v>
      </c>
      <c r="E692" s="99" t="s">
        <v>495</v>
      </c>
      <c r="F692" s="100">
        <v>291</v>
      </c>
      <c r="G692" s="100">
        <v>851</v>
      </c>
      <c r="H692" s="17" t="s">
        <v>196</v>
      </c>
      <c r="I692" s="100" t="str">
        <f>IF(OR(F692=152,F692=162,F692=510),IF((OR(LEFT(RIGHT(E692,13),1)={"A","D","E","F","G","I","L","N","P","R","S","T","V"})),"Ф",""),"")</f>
        <v/>
      </c>
    </row>
    <row r="693" spans="2:9" x14ac:dyDescent="0.3">
      <c r="D693" s="48" t="str">
        <f>CONCATENATE(УЧРЕЖДЕНИЯ!$A$8)</f>
        <v>ЦБС</v>
      </c>
      <c r="E693" s="99" t="s">
        <v>496</v>
      </c>
      <c r="F693" s="100">
        <v>291</v>
      </c>
      <c r="G693" s="100">
        <v>852</v>
      </c>
      <c r="H693" s="17" t="s">
        <v>196</v>
      </c>
      <c r="I693" s="100" t="str">
        <f>IF(OR(F693=152,F693=162,F693=510),IF((OR(LEFT(RIGHT(E693,13),1)={"A","D","E","F","G","I","L","N","P","R","S","T","V"})),"Ф",""),"")</f>
        <v/>
      </c>
    </row>
    <row r="694" spans="2:9" x14ac:dyDescent="0.3">
      <c r="D694" s="48" t="str">
        <f>CONCATENATE(УЧРЕЖДЕНИЯ!$A$8)</f>
        <v>ЦБС</v>
      </c>
      <c r="E694" s="99" t="s">
        <v>497</v>
      </c>
      <c r="F694" s="100">
        <v>291</v>
      </c>
      <c r="G694" s="100">
        <v>853</v>
      </c>
      <c r="H694" s="17" t="s">
        <v>196</v>
      </c>
      <c r="I694" s="100" t="str">
        <f>IF(OR(F694=152,F694=162,F694=510),IF((OR(LEFT(RIGHT(E694,13),1)={"A","D","E","F","G","I","L","N","P","R","S","T","V"})),"Ф",""),"")</f>
        <v/>
      </c>
    </row>
    <row r="695" spans="2:9" x14ac:dyDescent="0.3">
      <c r="D695" s="48" t="str">
        <f>CONCATENATE(УЧРЕЖДЕНИЯ!$A$8)</f>
        <v>ЦБС</v>
      </c>
      <c r="E695" s="99" t="s">
        <v>497</v>
      </c>
      <c r="F695" s="100">
        <v>292</v>
      </c>
      <c r="G695" s="100">
        <v>853</v>
      </c>
      <c r="H695" s="17" t="s">
        <v>196</v>
      </c>
      <c r="I695" s="100" t="str">
        <f>IF(OR(F695=152,F695=162,F695=510),IF((OR(LEFT(RIGHT(E695,13),1)={"A","D","E","F","G","I","L","N","P","R","S","T","V"})),"Ф",""),"")</f>
        <v/>
      </c>
    </row>
    <row r="696" spans="2:9" x14ac:dyDescent="0.3">
      <c r="D696" s="48" t="str">
        <f>CONCATENATE(УЧРЕЖДЕНИЯ!$A$8)</f>
        <v>ЦБС</v>
      </c>
      <c r="E696" s="99" t="s">
        <v>498</v>
      </c>
      <c r="F696" s="100">
        <v>510</v>
      </c>
      <c r="G696" s="100">
        <v>510</v>
      </c>
      <c r="H696" s="17" t="s">
        <v>196</v>
      </c>
      <c r="I696" s="100" t="str">
        <f>IF(OR(F696=152,F696=162,F696=510),IF((OR(LEFT(RIGHT(E696,13),1)={"A","D","E","F","G","I","L","N","P","R","S","T","V"})),"Ф",""),"")</f>
        <v/>
      </c>
    </row>
    <row r="697" spans="2:9" x14ac:dyDescent="0.3">
      <c r="D697" s="48" t="str">
        <f>CONCATENATE(УЧРЕЖДЕНИЯ!$A$8)</f>
        <v>ЦБС</v>
      </c>
      <c r="E697" s="99" t="s">
        <v>499</v>
      </c>
      <c r="F697" s="100">
        <v>131</v>
      </c>
      <c r="G697" s="100">
        <v>130</v>
      </c>
      <c r="H697" s="17" t="s">
        <v>196</v>
      </c>
      <c r="I697" s="100" t="str">
        <f>IF(OR(F697=152,F697=162,F697=510),IF((OR(LEFT(RIGHT(E697,13),1)={"A","D","E","F","G","I","L","N","P","R","S","T","V"})),"Ф",""),"")</f>
        <v/>
      </c>
    </row>
    <row r="698" spans="2:9" x14ac:dyDescent="0.3">
      <c r="D698" s="48" t="str">
        <f>CONCATENATE(УЧРЕЖДЕНИЯ!$A$8)</f>
        <v>ЦБС</v>
      </c>
      <c r="E698" s="99" t="s">
        <v>500</v>
      </c>
      <c r="F698" s="100">
        <v>211</v>
      </c>
      <c r="G698" s="100">
        <v>111</v>
      </c>
      <c r="H698" s="17" t="s">
        <v>196</v>
      </c>
      <c r="I698" s="100" t="str">
        <f>IF(OR(F698=152,F698=162,F698=510),IF((OR(LEFT(RIGHT(E698,13),1)={"A","D","E","F","G","I","L","N","P","R","S","T","V"})),"Ф",""),"")</f>
        <v/>
      </c>
    </row>
    <row r="699" spans="2:9" x14ac:dyDescent="0.3">
      <c r="D699" s="48" t="str">
        <f>CONCATENATE(УЧРЕЖДЕНИЯ!$A$8)</f>
        <v>ЦБС</v>
      </c>
      <c r="E699" s="99" t="s">
        <v>501</v>
      </c>
      <c r="F699" s="100">
        <v>213</v>
      </c>
      <c r="G699" s="100">
        <v>119</v>
      </c>
      <c r="H699" s="17" t="s">
        <v>196</v>
      </c>
      <c r="I699" s="100" t="str">
        <f>IF(OR(F699=152,F699=162,F699=510),IF((OR(LEFT(RIGHT(E699,13),1)={"A","D","E","F","G","I","L","N","P","R","S","T","V"})),"Ф",""),"")</f>
        <v/>
      </c>
    </row>
    <row r="700" spans="2:9" x14ac:dyDescent="0.3">
      <c r="B700" s="48" t="s">
        <v>739</v>
      </c>
      <c r="C700" s="48" t="s">
        <v>135</v>
      </c>
      <c r="D700" s="48" t="str">
        <f>CONCATENATE(УЧРЕЖДЕНИЯ!$A$9)</f>
        <v>музей</v>
      </c>
      <c r="E700" s="99" t="s">
        <v>503</v>
      </c>
      <c r="F700" s="100">
        <v>131</v>
      </c>
      <c r="G700" s="100">
        <v>130</v>
      </c>
      <c r="H700" s="17" t="s">
        <v>196</v>
      </c>
      <c r="I700" s="100" t="str">
        <f>IF(OR(F700=152,F700=162,F700=510),IF((OR(LEFT(RIGHT(E700,13),1)={"A","D","E","F","G","I","L","N","P","R","S","T","V"})),"Ф",""),"")</f>
        <v/>
      </c>
    </row>
    <row r="701" spans="2:9" x14ac:dyDescent="0.3">
      <c r="D701" s="48" t="str">
        <f>CONCATENATE(УЧРЕЖДЕНИЯ!$A$9)</f>
        <v>музей</v>
      </c>
      <c r="E701" s="99" t="s">
        <v>504</v>
      </c>
      <c r="F701" s="100">
        <v>211</v>
      </c>
      <c r="G701" s="100">
        <v>111</v>
      </c>
      <c r="H701" s="17" t="s">
        <v>196</v>
      </c>
      <c r="I701" s="100" t="str">
        <f>IF(OR(F701=152,F701=162,F701=510),IF((OR(LEFT(RIGHT(E701,13),1)={"A","D","E","F","G","I","L","N","P","R","S","T","V"})),"Ф",""),"")</f>
        <v/>
      </c>
    </row>
    <row r="702" spans="2:9" x14ac:dyDescent="0.3">
      <c r="D702" s="48" t="str">
        <f>CONCATENATE(УЧРЕЖДЕНИЯ!$A$9)</f>
        <v>музей</v>
      </c>
      <c r="E702" s="99" t="s">
        <v>504</v>
      </c>
      <c r="F702" s="100">
        <v>266</v>
      </c>
      <c r="G702" s="100">
        <v>111</v>
      </c>
      <c r="H702" s="17" t="s">
        <v>196</v>
      </c>
      <c r="I702" s="100" t="str">
        <f>IF(OR(F702=152,F702=162,F702=510),IF((OR(LEFT(RIGHT(E702,13),1)={"A","D","E","F","G","I","L","N","P","R","S","T","V"})),"Ф",""),"")</f>
        <v/>
      </c>
    </row>
    <row r="703" spans="2:9" x14ac:dyDescent="0.3">
      <c r="D703" s="48" t="str">
        <f>CONCATENATE(УЧРЕЖДЕНИЯ!$A$9)</f>
        <v>музей</v>
      </c>
      <c r="E703" s="99" t="s">
        <v>505</v>
      </c>
      <c r="F703" s="100">
        <v>212</v>
      </c>
      <c r="G703" s="100">
        <v>112</v>
      </c>
      <c r="H703" s="17" t="s">
        <v>196</v>
      </c>
      <c r="I703" s="100" t="str">
        <f>IF(OR(F703=152,F703=162,F703=510),IF((OR(LEFT(RIGHT(E703,13),1)={"A","D","E","F","G","I","L","N","P","R","S","T","V"})),"Ф",""),"")</f>
        <v/>
      </c>
    </row>
    <row r="704" spans="2:9" x14ac:dyDescent="0.3">
      <c r="D704" s="48" t="str">
        <f>CONCATENATE(УЧРЕЖДЕНИЯ!$A$9)</f>
        <v>музей</v>
      </c>
      <c r="E704" s="99" t="s">
        <v>505</v>
      </c>
      <c r="F704" s="100">
        <v>226</v>
      </c>
      <c r="G704" s="100">
        <v>112</v>
      </c>
      <c r="H704" s="17" t="s">
        <v>196</v>
      </c>
      <c r="I704" s="100" t="str">
        <f>IF(OR(F704=152,F704=162,F704=510),IF((OR(LEFT(RIGHT(E704,13),1)={"A","D","E","F","G","I","L","N","P","R","S","T","V"})),"Ф",""),"")</f>
        <v/>
      </c>
    </row>
    <row r="705" spans="4:9" x14ac:dyDescent="0.3">
      <c r="D705" s="48" t="str">
        <f>CONCATENATE(УЧРЕЖДЕНИЯ!$A$9)</f>
        <v>музей</v>
      </c>
      <c r="E705" s="99" t="s">
        <v>505</v>
      </c>
      <c r="F705" s="100">
        <v>266</v>
      </c>
      <c r="G705" s="100">
        <v>112</v>
      </c>
      <c r="H705" s="17" t="s">
        <v>196</v>
      </c>
      <c r="I705" s="100" t="str">
        <f>IF(OR(F705=152,F705=162,F705=510),IF((OR(LEFT(RIGHT(E705,13),1)={"A","D","E","F","G","I","L","N","P","R","S","T","V"})),"Ф",""),"")</f>
        <v/>
      </c>
    </row>
    <row r="706" spans="4:9" x14ac:dyDescent="0.3">
      <c r="D706" s="48" t="str">
        <f>CONCATENATE(УЧРЕЖДЕНИЯ!$A$9)</f>
        <v>музей</v>
      </c>
      <c r="E706" s="99" t="s">
        <v>506</v>
      </c>
      <c r="F706" s="100">
        <v>213</v>
      </c>
      <c r="G706" s="100">
        <v>119</v>
      </c>
      <c r="H706" s="17" t="s">
        <v>196</v>
      </c>
      <c r="I706" s="100" t="str">
        <f>IF(OR(F706=152,F706=162,F706=510),IF((OR(LEFT(RIGHT(E706,13),1)={"A","D","E","F","G","I","L","N","P","R","S","T","V"})),"Ф",""),"")</f>
        <v/>
      </c>
    </row>
    <row r="707" spans="4:9" x14ac:dyDescent="0.3">
      <c r="D707" s="48" t="str">
        <f>CONCATENATE(УЧРЕЖДЕНИЯ!$A$9)</f>
        <v>музей</v>
      </c>
      <c r="E707" s="99" t="s">
        <v>507</v>
      </c>
      <c r="F707" s="100">
        <v>221</v>
      </c>
      <c r="G707" s="100">
        <v>244</v>
      </c>
      <c r="H707" s="17" t="s">
        <v>196</v>
      </c>
      <c r="I707" s="100" t="str">
        <f>IF(OR(F707=152,F707=162,F707=510),IF((OR(LEFT(RIGHT(E707,13),1)={"A","D","E","F","G","I","L","N","P","R","S","T","V"})),"Ф",""),"")</f>
        <v/>
      </c>
    </row>
    <row r="708" spans="4:9" x14ac:dyDescent="0.3">
      <c r="D708" s="48" t="str">
        <f>CONCATENATE(УЧРЕЖДЕНИЯ!$A$9)</f>
        <v>музей</v>
      </c>
      <c r="E708" s="99" t="s">
        <v>507</v>
      </c>
      <c r="F708" s="100">
        <v>222</v>
      </c>
      <c r="G708" s="100">
        <v>244</v>
      </c>
      <c r="H708" s="17" t="s">
        <v>196</v>
      </c>
      <c r="I708" s="100" t="str">
        <f>IF(OR(F708=152,F708=162,F708=510),IF((OR(LEFT(RIGHT(E708,13),1)={"A","D","E","F","G","I","L","N","P","R","S","T","V"})),"Ф",""),"")</f>
        <v/>
      </c>
    </row>
    <row r="709" spans="4:9" x14ac:dyDescent="0.3">
      <c r="D709" s="48" t="str">
        <f>CONCATENATE(УЧРЕЖДЕНИЯ!$A$9)</f>
        <v>музей</v>
      </c>
      <c r="E709" s="99" t="s">
        <v>508</v>
      </c>
      <c r="F709" s="100">
        <v>2233</v>
      </c>
      <c r="G709" s="100">
        <v>244</v>
      </c>
      <c r="H709" s="17" t="s">
        <v>196</v>
      </c>
      <c r="I709" s="100" t="str">
        <f>IF(OR(F709=152,F709=162,F709=510),IF((OR(LEFT(RIGHT(E709,13),1)={"A","D","E","F","G","I","L","N","P","R","S","T","V"})),"Ф",""),"")</f>
        <v/>
      </c>
    </row>
    <row r="710" spans="4:9" x14ac:dyDescent="0.3">
      <c r="D710" s="48" t="str">
        <f>CONCATENATE(УЧРЕЖДЕНИЯ!$A$9)</f>
        <v>музей</v>
      </c>
      <c r="E710" s="99" t="s">
        <v>670</v>
      </c>
      <c r="F710" s="100">
        <v>2234</v>
      </c>
      <c r="G710" s="100">
        <v>244</v>
      </c>
      <c r="H710" s="17" t="s">
        <v>196</v>
      </c>
      <c r="I710" s="100" t="str">
        <f>IF(OR(F710=152,F710=162,F710=510),IF((OR(LEFT(RIGHT(E710,13),1)={"A","D","E","F","G","I","L","N","P","R","S","T","V"})),"Ф",""),"")</f>
        <v/>
      </c>
    </row>
    <row r="711" spans="4:9" x14ac:dyDescent="0.3">
      <c r="D711" s="48" t="str">
        <f>CONCATENATE(УЧРЕЖДЕНИЯ!$A$9)</f>
        <v>музей</v>
      </c>
      <c r="E711" s="99" t="s">
        <v>507</v>
      </c>
      <c r="F711" s="100">
        <v>225</v>
      </c>
      <c r="G711" s="100">
        <v>244</v>
      </c>
      <c r="H711" s="17" t="s">
        <v>196</v>
      </c>
      <c r="I711" s="100" t="str">
        <f>IF(OR(F711=152,F711=162,F711=510),IF((OR(LEFT(RIGHT(E711,13),1)={"A","D","E","F","G","I","L","N","P","R","S","T","V"})),"Ф",""),"")</f>
        <v/>
      </c>
    </row>
    <row r="712" spans="4:9" x14ac:dyDescent="0.3">
      <c r="D712" s="48" t="str">
        <f>CONCATENATE(УЧРЕЖДЕНИЯ!$A$9)</f>
        <v>музей</v>
      </c>
      <c r="E712" s="99" t="s">
        <v>507</v>
      </c>
      <c r="F712" s="100">
        <v>226</v>
      </c>
      <c r="G712" s="100">
        <v>244</v>
      </c>
      <c r="H712" s="17" t="s">
        <v>196</v>
      </c>
      <c r="I712" s="100" t="str">
        <f>IF(OR(F712=152,F712=162,F712=510),IF((OR(LEFT(RIGHT(E712,13),1)={"A","D","E","F","G","I","L","N","P","R","S","T","V"})),"Ф",""),"")</f>
        <v/>
      </c>
    </row>
    <row r="713" spans="4:9" x14ac:dyDescent="0.3">
      <c r="D713" s="48" t="str">
        <f>CONCATENATE(УЧРЕЖДЕНИЯ!$A$9)</f>
        <v>музей</v>
      </c>
      <c r="E713" s="99" t="s">
        <v>507</v>
      </c>
      <c r="F713" s="100">
        <v>310</v>
      </c>
      <c r="G713" s="100">
        <v>244</v>
      </c>
      <c r="H713" s="17" t="s">
        <v>196</v>
      </c>
      <c r="I713" s="100" t="str">
        <f>IF(OR(F713=152,F713=162,F713=510),IF((OR(LEFT(RIGHT(E713,13),1)={"A","D","E","F","G","I","L","N","P","R","S","T","V"})),"Ф",""),"")</f>
        <v/>
      </c>
    </row>
    <row r="714" spans="4:9" x14ac:dyDescent="0.3">
      <c r="D714" s="48" t="str">
        <f>CONCATENATE(УЧРЕЖДЕНИЯ!$A$9)</f>
        <v>музей</v>
      </c>
      <c r="E714" s="99" t="s">
        <v>507</v>
      </c>
      <c r="F714" s="100">
        <v>344</v>
      </c>
      <c r="G714" s="100">
        <v>244</v>
      </c>
      <c r="H714" s="17" t="s">
        <v>196</v>
      </c>
      <c r="I714" s="100" t="str">
        <f>IF(OR(F714=152,F714=162,F714=510),IF((OR(LEFT(RIGHT(E714,13),1)={"A","D","E","F","G","I","L","N","P","R","S","T","V"})),"Ф",""),"")</f>
        <v/>
      </c>
    </row>
    <row r="715" spans="4:9" x14ac:dyDescent="0.3">
      <c r="D715" s="48" t="str">
        <f>CONCATENATE(УЧРЕЖДЕНИЯ!$A$9)</f>
        <v>музей</v>
      </c>
      <c r="E715" s="99" t="s">
        <v>507</v>
      </c>
      <c r="F715" s="100">
        <v>346</v>
      </c>
      <c r="G715" s="100">
        <v>244</v>
      </c>
      <c r="H715" s="17" t="s">
        <v>196</v>
      </c>
      <c r="I715" s="100" t="str">
        <f>IF(OR(F715=152,F715=162,F715=510),IF((OR(LEFT(RIGHT(E715,13),1)={"A","D","E","F","G","I","L","N","P","R","S","T","V"})),"Ф",""),"")</f>
        <v/>
      </c>
    </row>
    <row r="716" spans="4:9" x14ac:dyDescent="0.3">
      <c r="D716" s="48" t="str">
        <f>CONCATENATE(УЧРЕЖДЕНИЯ!$A$9)</f>
        <v>музей</v>
      </c>
      <c r="E716" s="99" t="s">
        <v>507</v>
      </c>
      <c r="F716" s="100">
        <v>349</v>
      </c>
      <c r="G716" s="100">
        <v>244</v>
      </c>
      <c r="H716" s="17" t="s">
        <v>196</v>
      </c>
      <c r="I716" s="100" t="str">
        <f>IF(OR(F716=152,F716=162,F716=510),IF((OR(LEFT(RIGHT(E716,13),1)={"A","D","E","F","G","I","L","N","P","R","S","T","V"})),"Ф",""),"")</f>
        <v/>
      </c>
    </row>
    <row r="717" spans="4:9" x14ac:dyDescent="0.3">
      <c r="D717" s="48" t="str">
        <f>CONCATENATE(УЧРЕЖДЕНИЯ!$A$9)</f>
        <v>музей</v>
      </c>
      <c r="E717" s="99" t="s">
        <v>692</v>
      </c>
      <c r="F717" s="100">
        <v>2231</v>
      </c>
      <c r="G717" s="100">
        <v>247</v>
      </c>
      <c r="H717" s="17" t="s">
        <v>196</v>
      </c>
      <c r="I717" s="100" t="str">
        <f>IF(OR(F717=152,F717=162,F717=510),IF((OR(LEFT(RIGHT(E717,13),1)={"A","D","E","F","G","I","L","N","P","R","S","T","V"})),"Ф",""),"")</f>
        <v/>
      </c>
    </row>
    <row r="718" spans="4:9" x14ac:dyDescent="0.3">
      <c r="D718" s="48" t="str">
        <f>CONCATENATE(УЧРЕЖДЕНИЯ!$A$9)</f>
        <v>музей</v>
      </c>
      <c r="E718" s="99" t="s">
        <v>703</v>
      </c>
      <c r="F718" s="100">
        <v>2232</v>
      </c>
      <c r="G718" s="100">
        <v>247</v>
      </c>
      <c r="H718" s="17" t="s">
        <v>196</v>
      </c>
      <c r="I718" s="100" t="str">
        <f>IF(OR(F718=152,F718=162,F718=510),IF((OR(LEFT(RIGHT(E718,13),1)={"A","D","E","F","G","I","L","N","P","R","S","T","V"})),"Ф",""),"")</f>
        <v/>
      </c>
    </row>
    <row r="719" spans="4:9" x14ac:dyDescent="0.3">
      <c r="D719" s="48" t="str">
        <f>CONCATENATE(УЧРЕЖДЕНИЯ!$A$9)</f>
        <v>музей</v>
      </c>
      <c r="E719" s="99" t="s">
        <v>502</v>
      </c>
      <c r="F719" s="100">
        <v>510</v>
      </c>
      <c r="G719" s="100">
        <v>510</v>
      </c>
      <c r="H719" s="17" t="s">
        <v>196</v>
      </c>
      <c r="I719" s="100" t="str">
        <f>IF(OR(F719=152,F719=162,F719=510),IF((OR(LEFT(RIGHT(E719,13),1)={"A","D","E","F","G","I","L","N","P","R","S","T","V"})),"Ф",""),"")</f>
        <v/>
      </c>
    </row>
    <row r="720" spans="4:9" x14ac:dyDescent="0.3">
      <c r="D720" s="48" t="str">
        <f>CONCATENATE(УЧРЕЖДЕНИЯ!$A$9)</f>
        <v>музей</v>
      </c>
      <c r="E720" s="99" t="s">
        <v>846</v>
      </c>
      <c r="F720" s="100">
        <v>610</v>
      </c>
      <c r="G720" s="100">
        <v>610</v>
      </c>
      <c r="H720" s="17" t="s">
        <v>196</v>
      </c>
      <c r="I720" s="100" t="str">
        <f>IF(OR(F720=152,F720=162,F720=510),IF((OR(LEFT(RIGHT(E720,13),1)={"A","D","E","F","G","I","L","N","P","R","S","T","V"})),"Ф",""),"")</f>
        <v/>
      </c>
    </row>
    <row r="721" spans="2:9" x14ac:dyDescent="0.3">
      <c r="D721" s="48" t="str">
        <f>CONCATENATE(УЧРЕЖДЕНИЯ!$A$9)</f>
        <v>музей</v>
      </c>
      <c r="E721" s="99" t="s">
        <v>509</v>
      </c>
      <c r="F721" s="100">
        <v>291</v>
      </c>
      <c r="G721" s="100">
        <v>851</v>
      </c>
      <c r="H721" s="17" t="s">
        <v>196</v>
      </c>
      <c r="I721" s="100" t="str">
        <f>IF(OR(F721=152,F721=162,F721=510),IF((OR(LEFT(RIGHT(E721,13),1)={"A","D","E","F","G","I","L","N","P","R","S","T","V"})),"Ф",""),"")</f>
        <v/>
      </c>
    </row>
    <row r="722" spans="2:9" x14ac:dyDescent="0.3">
      <c r="D722" s="48" t="str">
        <f>CONCATENATE(УЧРЕЖДЕНИЯ!$A$9)</f>
        <v>музей</v>
      </c>
      <c r="E722" s="99" t="s">
        <v>510</v>
      </c>
      <c r="F722" s="100">
        <v>291</v>
      </c>
      <c r="G722" s="100">
        <v>853</v>
      </c>
      <c r="H722" s="17" t="s">
        <v>196</v>
      </c>
      <c r="I722" s="100" t="str">
        <f>IF(OR(F722=152,F722=162,F722=510),IF((OR(LEFT(RIGHT(E722,13),1)={"A","D","E","F","G","I","L","N","P","R","S","T","V"})),"Ф",""),"")</f>
        <v/>
      </c>
    </row>
    <row r="723" spans="2:9" x14ac:dyDescent="0.3">
      <c r="D723" s="48" t="str">
        <f>CONCATENATE(УЧРЕЖДЕНИЯ!$A$9)</f>
        <v>музей</v>
      </c>
      <c r="E723" s="99" t="s">
        <v>510</v>
      </c>
      <c r="F723" s="100">
        <v>292</v>
      </c>
      <c r="G723" s="100">
        <v>853</v>
      </c>
      <c r="H723" s="17" t="s">
        <v>196</v>
      </c>
      <c r="I723" s="100" t="str">
        <f>IF(OR(F723=152,F723=162,F723=510),IF((OR(LEFT(RIGHT(E723,13),1)={"A","D","E","F","G","I","L","N","P","R","S","T","V"})),"Ф",""),"")</f>
        <v/>
      </c>
    </row>
    <row r="724" spans="2:9" x14ac:dyDescent="0.3">
      <c r="D724" s="48" t="str">
        <f>CONCATENATE(УЧРЕЖДЕНИЯ!$A$9)</f>
        <v>музей</v>
      </c>
      <c r="E724" s="99" t="s">
        <v>510</v>
      </c>
      <c r="F724" s="100">
        <v>293</v>
      </c>
      <c r="G724" s="100">
        <v>853</v>
      </c>
      <c r="H724" s="17" t="s">
        <v>196</v>
      </c>
      <c r="I724" s="100" t="str">
        <f>IF(OR(F724=152,F724=162,F724=510),IF((OR(LEFT(RIGHT(E724,13),1)={"A","D","E","F","G","I","L","N","P","R","S","T","V"})),"Ф",""),"")</f>
        <v/>
      </c>
    </row>
    <row r="725" spans="2:9" x14ac:dyDescent="0.3">
      <c r="D725" s="48" t="str">
        <f>CONCATENATE(УЧРЕЖДЕНИЯ!$A$9)</f>
        <v>музей</v>
      </c>
      <c r="E725" s="99" t="s">
        <v>512</v>
      </c>
      <c r="F725" s="100">
        <v>131</v>
      </c>
      <c r="G725" s="100">
        <v>130</v>
      </c>
      <c r="H725" s="17" t="s">
        <v>196</v>
      </c>
      <c r="I725" s="100" t="str">
        <f>IF(OR(F725=152,F725=162,F725=510),IF((OR(LEFT(RIGHT(E725,13),1)={"A","D","E","F","G","I","L","N","P","R","S","T","V"})),"Ф",""),"")</f>
        <v/>
      </c>
    </row>
    <row r="726" spans="2:9" x14ac:dyDescent="0.3">
      <c r="D726" s="48" t="str">
        <f>CONCATENATE(УЧРЕЖДЕНИЯ!$A$9)</f>
        <v>музей</v>
      </c>
      <c r="E726" s="99" t="s">
        <v>513</v>
      </c>
      <c r="F726" s="100">
        <v>211</v>
      </c>
      <c r="G726" s="100">
        <v>111</v>
      </c>
      <c r="H726" s="17" t="s">
        <v>196</v>
      </c>
      <c r="I726" s="100" t="str">
        <f>IF(OR(F726=152,F726=162,F726=510),IF((OR(LEFT(RIGHT(E726,13),1)={"A","D","E","F","G","I","L","N","P","R","S","T","V"})),"Ф",""),"")</f>
        <v/>
      </c>
    </row>
    <row r="727" spans="2:9" x14ac:dyDescent="0.3">
      <c r="D727" s="48" t="str">
        <f>CONCATENATE(УЧРЕЖДЕНИЯ!$A$9)</f>
        <v>музей</v>
      </c>
      <c r="E727" s="99" t="s">
        <v>514</v>
      </c>
      <c r="F727" s="100">
        <v>213</v>
      </c>
      <c r="G727" s="100">
        <v>119</v>
      </c>
      <c r="H727" s="17" t="s">
        <v>196</v>
      </c>
      <c r="I727" s="100" t="str">
        <f>IF(OR(F727=152,F727=162,F727=510),IF((OR(LEFT(RIGHT(E727,13),1)={"A","D","E","F","G","I","L","N","P","R","S","T","V"})),"Ф",""),"")</f>
        <v/>
      </c>
    </row>
    <row r="728" spans="2:9" x14ac:dyDescent="0.3">
      <c r="D728" s="48" t="str">
        <f>CONCATENATE(УЧРЕЖДЕНИЯ!$A$9)</f>
        <v>музей</v>
      </c>
      <c r="E728" s="99" t="s">
        <v>511</v>
      </c>
      <c r="F728" s="100">
        <v>510</v>
      </c>
      <c r="G728" s="100">
        <v>510</v>
      </c>
      <c r="H728" s="17" t="s">
        <v>196</v>
      </c>
      <c r="I728" s="100" t="str">
        <f>IF(OR(F728=152,F728=162,F728=510),IF((OR(LEFT(RIGHT(E728,13),1)={"A","D","E","F","G","I","L","N","P","R","S","T","V"})),"Ф",""),"")</f>
        <v/>
      </c>
    </row>
    <row r="729" spans="2:9" x14ac:dyDescent="0.3">
      <c r="B729" s="48" t="s">
        <v>739</v>
      </c>
      <c r="C729" s="48" t="s">
        <v>203</v>
      </c>
      <c r="D729" s="48" t="str">
        <f>CONCATENATE(УЧРЕЖДЕНИЯ!$A$11)</f>
        <v>культура</v>
      </c>
      <c r="E729" s="99" t="s">
        <v>516</v>
      </c>
      <c r="F729" s="100">
        <v>131</v>
      </c>
      <c r="G729" s="100">
        <v>130</v>
      </c>
      <c r="H729" s="17" t="s">
        <v>196</v>
      </c>
      <c r="I729" s="100" t="str">
        <f>IF(OR(F729=152,F729=162,F729=510),IF((OR(LEFT(RIGHT(E729,13),1)={"A","D","E","F","G","I","L","N","P","R","S","T","V"})),"Ф",""),"")</f>
        <v/>
      </c>
    </row>
    <row r="730" spans="2:9" x14ac:dyDescent="0.3">
      <c r="D730" s="48" t="str">
        <f>CONCATENATE(УЧРЕЖДЕНИЯ!$A$11)</f>
        <v>культура</v>
      </c>
      <c r="E730" s="99" t="s">
        <v>517</v>
      </c>
      <c r="F730" s="100">
        <v>211</v>
      </c>
      <c r="G730" s="100">
        <v>111</v>
      </c>
      <c r="H730" s="17" t="s">
        <v>196</v>
      </c>
      <c r="I730" s="100" t="str">
        <f>IF(OR(F730=152,F730=162,F730=510),IF((OR(LEFT(RIGHT(E730,13),1)={"A","D","E","F","G","I","L","N","P","R","S","T","V"})),"Ф",""),"")</f>
        <v/>
      </c>
    </row>
    <row r="731" spans="2:9" x14ac:dyDescent="0.3">
      <c r="D731" s="48" t="str">
        <f>CONCATENATE(УЧРЕЖДЕНИЯ!$A$11)</f>
        <v>культура</v>
      </c>
      <c r="E731" s="99" t="s">
        <v>517</v>
      </c>
      <c r="F731" s="100">
        <v>266</v>
      </c>
      <c r="G731" s="100">
        <v>111</v>
      </c>
      <c r="H731" s="17" t="s">
        <v>196</v>
      </c>
      <c r="I731" s="100" t="str">
        <f>IF(OR(F731=152,F731=162,F731=510),IF((OR(LEFT(RIGHT(E731,13),1)={"A","D","E","F","G","I","L","N","P","R","S","T","V"})),"Ф",""),"")</f>
        <v/>
      </c>
    </row>
    <row r="732" spans="2:9" x14ac:dyDescent="0.3">
      <c r="D732" s="48" t="str">
        <f>CONCATENATE(УЧРЕЖДЕНИЯ!$A$11)</f>
        <v>культура</v>
      </c>
      <c r="E732" s="99" t="s">
        <v>518</v>
      </c>
      <c r="F732" s="100">
        <v>212</v>
      </c>
      <c r="G732" s="100">
        <v>112</v>
      </c>
      <c r="H732" s="17" t="s">
        <v>196</v>
      </c>
      <c r="I732" s="100" t="str">
        <f>IF(OR(F732=152,F732=162,F732=510),IF((OR(LEFT(RIGHT(E732,13),1)={"A","D","E","F","G","I","L","N","P","R","S","T","V"})),"Ф",""),"")</f>
        <v/>
      </c>
    </row>
    <row r="733" spans="2:9" x14ac:dyDescent="0.3">
      <c r="D733" s="48" t="str">
        <f>CONCATENATE(УЧРЕЖДЕНИЯ!$A$11)</f>
        <v>культура</v>
      </c>
      <c r="E733" s="99" t="s">
        <v>518</v>
      </c>
      <c r="F733" s="100">
        <v>226</v>
      </c>
      <c r="G733" s="100">
        <v>112</v>
      </c>
      <c r="H733" s="17" t="s">
        <v>196</v>
      </c>
      <c r="I733" s="100" t="str">
        <f>IF(OR(F733=152,F733=162,F733=510),IF((OR(LEFT(RIGHT(E733,13),1)={"A","D","E","F","G","I","L","N","P","R","S","T","V"})),"Ф",""),"")</f>
        <v/>
      </c>
    </row>
    <row r="734" spans="2:9" x14ac:dyDescent="0.3">
      <c r="D734" s="48" t="str">
        <f>CONCATENATE(УЧРЕЖДЕНИЯ!$A$11)</f>
        <v>культура</v>
      </c>
      <c r="E734" s="99" t="s">
        <v>518</v>
      </c>
      <c r="F734" s="100">
        <v>266</v>
      </c>
      <c r="G734" s="100">
        <v>112</v>
      </c>
      <c r="H734" s="17" t="s">
        <v>196</v>
      </c>
      <c r="I734" s="100" t="str">
        <f>IF(OR(F734=152,F734=162,F734=510),IF((OR(LEFT(RIGHT(E734,13),1)={"A","D","E","F","G","I","L","N","P","R","S","T","V"})),"Ф",""),"")</f>
        <v/>
      </c>
    </row>
    <row r="735" spans="2:9" x14ac:dyDescent="0.3">
      <c r="D735" s="48" t="str">
        <f>CONCATENATE(УЧРЕЖДЕНИЯ!$A$11)</f>
        <v>культура</v>
      </c>
      <c r="E735" s="99" t="s">
        <v>519</v>
      </c>
      <c r="F735" s="100">
        <v>213</v>
      </c>
      <c r="G735" s="100">
        <v>119</v>
      </c>
      <c r="H735" s="17" t="s">
        <v>196</v>
      </c>
      <c r="I735" s="100" t="str">
        <f>IF(OR(F735=152,F735=162,F735=510),IF((OR(LEFT(RIGHT(E735,13),1)={"A","D","E","F","G","I","L","N","P","R","S","T","V"})),"Ф",""),"")</f>
        <v/>
      </c>
    </row>
    <row r="736" spans="2:9" x14ac:dyDescent="0.3">
      <c r="D736" s="48" t="str">
        <f>CONCATENATE(УЧРЕЖДЕНИЯ!$A$11)</f>
        <v>культура</v>
      </c>
      <c r="E736" s="99" t="s">
        <v>519</v>
      </c>
      <c r="F736" s="100">
        <v>267</v>
      </c>
      <c r="G736" s="100">
        <v>119</v>
      </c>
      <c r="H736" s="17" t="s">
        <v>196</v>
      </c>
      <c r="I736" s="100" t="str">
        <f>IF(OR(F736=152,F736=162,F736=510),IF((OR(LEFT(RIGHT(E736,13),1)={"A","D","E","F","G","I","L","N","P","R","S","T","V"})),"Ф",""),"")</f>
        <v/>
      </c>
    </row>
    <row r="737" spans="4:9" x14ac:dyDescent="0.3">
      <c r="D737" s="48" t="str">
        <f>CONCATENATE(УЧРЕЖДЕНИЯ!$A$11)</f>
        <v>культура</v>
      </c>
      <c r="E737" s="99" t="s">
        <v>520</v>
      </c>
      <c r="F737" s="100">
        <v>221</v>
      </c>
      <c r="G737" s="100">
        <v>244</v>
      </c>
      <c r="H737" s="17" t="s">
        <v>196</v>
      </c>
      <c r="I737" s="100" t="str">
        <f>IF(OR(F737=152,F737=162,F737=510),IF((OR(LEFT(RIGHT(E737,13),1)={"A","D","E","F","G","I","L","N","P","R","S","T","V"})),"Ф",""),"")</f>
        <v/>
      </c>
    </row>
    <row r="738" spans="4:9" x14ac:dyDescent="0.3">
      <c r="D738" s="48" t="str">
        <f>CONCATENATE(УЧРЕЖДЕНИЯ!$A$11)</f>
        <v>культура</v>
      </c>
      <c r="E738" s="99" t="s">
        <v>520</v>
      </c>
      <c r="F738" s="100">
        <v>222</v>
      </c>
      <c r="G738" s="100">
        <v>244</v>
      </c>
      <c r="H738" s="17" t="s">
        <v>196</v>
      </c>
      <c r="I738" s="100" t="str">
        <f>IF(OR(F738=152,F738=162,F738=510),IF((OR(LEFT(RIGHT(E738,13),1)={"A","D","E","F","G","I","L","N","P","R","S","T","V"})),"Ф",""),"")</f>
        <v/>
      </c>
    </row>
    <row r="739" spans="4:9" x14ac:dyDescent="0.3">
      <c r="D739" s="48" t="str">
        <f>CONCATENATE(УЧРЕЖДЕНИЯ!$A$11)</f>
        <v>культура</v>
      </c>
      <c r="E739" s="99" t="s">
        <v>815</v>
      </c>
      <c r="F739" s="100">
        <v>2232</v>
      </c>
      <c r="G739" s="100">
        <v>244</v>
      </c>
      <c r="H739" s="17" t="s">
        <v>196</v>
      </c>
      <c r="I739" s="100" t="str">
        <f>IF(OR(F739=152,F739=162,F739=510),IF((OR(LEFT(RIGHT(E739,13),1)={"A","D","E","F","G","I","L","N","P","R","S","T","V"})),"Ф",""),"")</f>
        <v/>
      </c>
    </row>
    <row r="740" spans="4:9" x14ac:dyDescent="0.3">
      <c r="D740" s="48" t="str">
        <f>CONCATENATE(УЧРЕЖДЕНИЯ!$A$11)</f>
        <v>культура</v>
      </c>
      <c r="E740" s="99" t="s">
        <v>521</v>
      </c>
      <c r="F740" s="100">
        <v>2233</v>
      </c>
      <c r="G740" s="100">
        <v>244</v>
      </c>
      <c r="H740" s="17" t="s">
        <v>196</v>
      </c>
      <c r="I740" s="100" t="str">
        <f>IF(OR(F740=152,F740=162,F740=510),IF((OR(LEFT(RIGHT(E740,13),1)={"A","D","E","F","G","I","L","N","P","R","S","T","V"})),"Ф",""),"")</f>
        <v/>
      </c>
    </row>
    <row r="741" spans="4:9" x14ac:dyDescent="0.3">
      <c r="D741" s="48" t="str">
        <f>CONCATENATE(УЧРЕЖДЕНИЯ!$A$11)</f>
        <v>культура</v>
      </c>
      <c r="E741" s="99" t="s">
        <v>671</v>
      </c>
      <c r="F741" s="100">
        <v>2234</v>
      </c>
      <c r="G741" s="100">
        <v>244</v>
      </c>
      <c r="H741" s="17" t="s">
        <v>196</v>
      </c>
      <c r="I741" s="100" t="str">
        <f>IF(OR(F741=152,F741=162,F741=510),IF((OR(LEFT(RIGHT(E741,13),1)={"A","D","E","F","G","I","L","N","P","R","S","T","V"})),"Ф",""),"")</f>
        <v/>
      </c>
    </row>
    <row r="742" spans="4:9" x14ac:dyDescent="0.3">
      <c r="D742" s="48" t="str">
        <f>CONCATENATE(УЧРЕЖДЕНИЯ!$A$11)</f>
        <v>культура</v>
      </c>
      <c r="E742" s="99" t="s">
        <v>520</v>
      </c>
      <c r="F742" s="100">
        <v>225</v>
      </c>
      <c r="G742" s="100">
        <v>244</v>
      </c>
      <c r="H742" s="17" t="s">
        <v>196</v>
      </c>
      <c r="I742" s="100" t="str">
        <f>IF(OR(F742=152,F742=162,F742=510),IF((OR(LEFT(RIGHT(E742,13),1)={"A","D","E","F","G","I","L","N","P","R","S","T","V"})),"Ф",""),"")</f>
        <v/>
      </c>
    </row>
    <row r="743" spans="4:9" x14ac:dyDescent="0.3">
      <c r="D743" s="48" t="str">
        <f>CONCATENATE(УЧРЕЖДЕНИЯ!$A$11)</f>
        <v>культура</v>
      </c>
      <c r="E743" s="99" t="s">
        <v>520</v>
      </c>
      <c r="F743" s="100">
        <v>226</v>
      </c>
      <c r="G743" s="100">
        <v>244</v>
      </c>
      <c r="H743" s="17" t="s">
        <v>196</v>
      </c>
      <c r="I743" s="100" t="str">
        <f>IF(OR(F743=152,F743=162,F743=510),IF((OR(LEFT(RIGHT(E743,13),1)={"A","D","E","F","G","I","L","N","P","R","S","T","V"})),"Ф",""),"")</f>
        <v/>
      </c>
    </row>
    <row r="744" spans="4:9" x14ac:dyDescent="0.3">
      <c r="D744" s="48" t="str">
        <f>CONCATENATE(УЧРЕЖДЕНИЯ!$A$11)</f>
        <v>культура</v>
      </c>
      <c r="E744" s="99" t="s">
        <v>520</v>
      </c>
      <c r="F744" s="100">
        <v>296</v>
      </c>
      <c r="G744" s="100">
        <v>244</v>
      </c>
      <c r="H744" s="17" t="s">
        <v>196</v>
      </c>
      <c r="I744" s="100" t="str">
        <f>IF(OR(F744=152,F744=162,F744=510),IF((OR(LEFT(RIGHT(E744,13),1)={"A","D","E","F","G","I","L","N","P","R","S","T","V"})),"Ф",""),"")</f>
        <v/>
      </c>
    </row>
    <row r="745" spans="4:9" x14ac:dyDescent="0.3">
      <c r="D745" s="48" t="str">
        <f>CONCATENATE(УЧРЕЖДЕНИЯ!$A$11)</f>
        <v>культура</v>
      </c>
      <c r="E745" s="99" t="s">
        <v>520</v>
      </c>
      <c r="F745" s="100">
        <v>310</v>
      </c>
      <c r="G745" s="100">
        <v>244</v>
      </c>
      <c r="H745" s="17" t="s">
        <v>196</v>
      </c>
      <c r="I745" s="100" t="str">
        <f>IF(OR(F745=152,F745=162,F745=510),IF((OR(LEFT(RIGHT(E745,13),1)={"A","D","E","F","G","I","L","N","P","R","S","T","V"})),"Ф",""),"")</f>
        <v/>
      </c>
    </row>
    <row r="746" spans="4:9" x14ac:dyDescent="0.3">
      <c r="D746" s="48" t="str">
        <f>CONCATENATE(УЧРЕЖДЕНИЯ!$A$11)</f>
        <v>культура</v>
      </c>
      <c r="E746" s="99" t="s">
        <v>520</v>
      </c>
      <c r="F746" s="100">
        <v>341</v>
      </c>
      <c r="G746" s="100">
        <v>244</v>
      </c>
      <c r="H746" s="17" t="s">
        <v>196</v>
      </c>
      <c r="I746" s="100" t="str">
        <f>IF(OR(F746=152,F746=162,F746=510),IF((OR(LEFT(RIGHT(E746,13),1)={"A","D","E","F","G","I","L","N","P","R","S","T","V"})),"Ф",""),"")</f>
        <v/>
      </c>
    </row>
    <row r="747" spans="4:9" x14ac:dyDescent="0.3">
      <c r="D747" s="48" t="str">
        <f>CONCATENATE(УЧРЕЖДЕНИЯ!$A$11)</f>
        <v>культура</v>
      </c>
      <c r="E747" s="99" t="s">
        <v>520</v>
      </c>
      <c r="F747" s="100">
        <v>343</v>
      </c>
      <c r="G747" s="100">
        <v>244</v>
      </c>
      <c r="H747" s="17" t="s">
        <v>196</v>
      </c>
      <c r="I747" s="100" t="str">
        <f>IF(OR(F747=152,F747=162,F747=510),IF((OR(LEFT(RIGHT(E747,13),1)={"A","D","E","F","G","I","L","N","P","R","S","T","V"})),"Ф",""),"")</f>
        <v/>
      </c>
    </row>
    <row r="748" spans="4:9" x14ac:dyDescent="0.3">
      <c r="D748" s="48" t="str">
        <f>CONCATENATE(УЧРЕЖДЕНИЯ!$A$11)</f>
        <v>культура</v>
      </c>
      <c r="E748" s="99" t="s">
        <v>520</v>
      </c>
      <c r="F748" s="100">
        <v>344</v>
      </c>
      <c r="G748" s="100">
        <v>244</v>
      </c>
      <c r="H748" s="17" t="s">
        <v>196</v>
      </c>
      <c r="I748" s="100" t="str">
        <f>IF(OR(F748=152,F748=162,F748=510),IF((OR(LEFT(RIGHT(E748,13),1)={"A","D","E","F","G","I","L","N","P","R","S","T","V"})),"Ф",""),"")</f>
        <v/>
      </c>
    </row>
    <row r="749" spans="4:9" x14ac:dyDescent="0.3">
      <c r="D749" s="48" t="str">
        <f>CONCATENATE(УЧРЕЖДЕНИЯ!$A$11)</f>
        <v>культура</v>
      </c>
      <c r="E749" s="99" t="s">
        <v>520</v>
      </c>
      <c r="F749" s="100">
        <v>345</v>
      </c>
      <c r="G749" s="100">
        <v>244</v>
      </c>
      <c r="H749" s="17" t="s">
        <v>196</v>
      </c>
      <c r="I749" s="100" t="str">
        <f>IF(OR(F749=152,F749=162,F749=510),IF((OR(LEFT(RIGHT(E749,13),1)={"A","D","E","F","G","I","L","N","P","R","S","T","V"})),"Ф",""),"")</f>
        <v/>
      </c>
    </row>
    <row r="750" spans="4:9" x14ac:dyDescent="0.3">
      <c r="D750" s="48" t="str">
        <f>CONCATENATE(УЧРЕЖДЕНИЯ!$A$11)</f>
        <v>культура</v>
      </c>
      <c r="E750" s="99" t="s">
        <v>520</v>
      </c>
      <c r="F750" s="100">
        <v>346</v>
      </c>
      <c r="G750" s="100">
        <v>244</v>
      </c>
      <c r="H750" s="17" t="s">
        <v>196</v>
      </c>
      <c r="I750" s="100" t="str">
        <f>IF(OR(F750=152,F750=162,F750=510),IF((OR(LEFT(RIGHT(E750,13),1)={"A","D","E","F","G","I","L","N","P","R","S","T","V"})),"Ф",""),"")</f>
        <v/>
      </c>
    </row>
    <row r="751" spans="4:9" x14ac:dyDescent="0.3">
      <c r="D751" s="48" t="str">
        <f>CONCATENATE(УЧРЕЖДЕНИЯ!$A$11)</f>
        <v>культура</v>
      </c>
      <c r="E751" s="99" t="s">
        <v>520</v>
      </c>
      <c r="F751" s="100">
        <v>349</v>
      </c>
      <c r="G751" s="100">
        <v>244</v>
      </c>
      <c r="H751" s="17" t="s">
        <v>196</v>
      </c>
      <c r="I751" s="100" t="str">
        <f>IF(OR(F751=152,F751=162,F751=510),IF((OR(LEFT(RIGHT(E751,13),1)={"A","D","E","F","G","I","L","N","P","R","S","T","V"})),"Ф",""),"")</f>
        <v/>
      </c>
    </row>
    <row r="752" spans="4:9" x14ac:dyDescent="0.3">
      <c r="D752" s="48" t="str">
        <f>CONCATENATE(УЧРЕЖДЕНИЯ!$A$11)</f>
        <v>культура</v>
      </c>
      <c r="E752" s="99" t="s">
        <v>693</v>
      </c>
      <c r="F752" s="100">
        <v>2231</v>
      </c>
      <c r="G752" s="100">
        <v>247</v>
      </c>
      <c r="H752" s="17" t="s">
        <v>196</v>
      </c>
      <c r="I752" s="100" t="str">
        <f>IF(OR(F752=152,F752=162,F752=510),IF((OR(LEFT(RIGHT(E752,13),1)={"A","D","E","F","G","I","L","N","P","R","S","T","V"})),"Ф",""),"")</f>
        <v/>
      </c>
    </row>
    <row r="753" spans="2:9" x14ac:dyDescent="0.3">
      <c r="D753" s="48" t="str">
        <f>CONCATENATE(УЧРЕЖДЕНИЯ!$A$11)</f>
        <v>культура</v>
      </c>
      <c r="E753" s="99" t="s">
        <v>704</v>
      </c>
      <c r="F753" s="100">
        <v>2232</v>
      </c>
      <c r="G753" s="100">
        <v>247</v>
      </c>
      <c r="H753" s="17" t="s">
        <v>196</v>
      </c>
      <c r="I753" s="100" t="str">
        <f>IF(OR(F753=152,F753=162,F753=510),IF((OR(LEFT(RIGHT(E753,13),1)={"A","D","E","F","G","I","L","N","P","R","S","T","V"})),"Ф",""),"")</f>
        <v/>
      </c>
    </row>
    <row r="754" spans="2:9" x14ac:dyDescent="0.3">
      <c r="D754" s="48" t="str">
        <f>CONCATENATE(УЧРЕЖДЕНИЯ!$A$11)</f>
        <v>культура</v>
      </c>
      <c r="E754" s="99" t="s">
        <v>515</v>
      </c>
      <c r="F754" s="100">
        <v>510</v>
      </c>
      <c r="G754" s="100">
        <v>510</v>
      </c>
      <c r="H754" s="17" t="s">
        <v>196</v>
      </c>
      <c r="I754" s="100" t="str">
        <f>IF(OR(F754=152,F754=162,F754=510),IF((OR(LEFT(RIGHT(E754,13),1)={"A","D","E","F","G","I","L","N","P","R","S","T","V"})),"Ф",""),"")</f>
        <v/>
      </c>
    </row>
    <row r="755" spans="2:9" x14ac:dyDescent="0.3">
      <c r="D755" s="48" t="str">
        <f>CONCATENATE(УЧРЕЖДЕНИЯ!$A$11)</f>
        <v>культура</v>
      </c>
      <c r="E755" s="99" t="s">
        <v>844</v>
      </c>
      <c r="F755" s="100">
        <v>610</v>
      </c>
      <c r="G755" s="100">
        <v>610</v>
      </c>
      <c r="H755" s="17" t="s">
        <v>196</v>
      </c>
      <c r="I755" s="100" t="str">
        <f>IF(OR(F755=152,F755=162,F755=510),IF((OR(LEFT(RIGHT(E755,13),1)={"A","D","E","F","G","I","L","N","P","R","S","T","V"})),"Ф",""),"")</f>
        <v/>
      </c>
    </row>
    <row r="756" spans="2:9" x14ac:dyDescent="0.3">
      <c r="D756" s="48" t="str">
        <f>CONCATENATE(УЧРЕЖДЕНИЯ!$A$11)</f>
        <v>культура</v>
      </c>
      <c r="E756" s="99" t="s">
        <v>522</v>
      </c>
      <c r="F756" s="100">
        <v>296</v>
      </c>
      <c r="G756" s="100">
        <v>831</v>
      </c>
      <c r="H756" s="17" t="s">
        <v>196</v>
      </c>
      <c r="I756" s="100" t="str">
        <f>IF(OR(F756=152,F756=162,F756=510),IF((OR(LEFT(RIGHT(E756,13),1)={"A","D","E","F","G","I","L","N","P","R","S","T","V"})),"Ф",""),"")</f>
        <v/>
      </c>
    </row>
    <row r="757" spans="2:9" x14ac:dyDescent="0.3">
      <c r="D757" s="48" t="str">
        <f>CONCATENATE(УЧРЕЖДЕНИЯ!$A$11)</f>
        <v>культура</v>
      </c>
      <c r="E757" s="99" t="s">
        <v>523</v>
      </c>
      <c r="F757" s="100">
        <v>291</v>
      </c>
      <c r="G757" s="100">
        <v>851</v>
      </c>
      <c r="H757" s="17" t="s">
        <v>196</v>
      </c>
      <c r="I757" s="100" t="str">
        <f>IF(OR(F757=152,F757=162,F757=510),IF((OR(LEFT(RIGHT(E757,13),1)={"A","D","E","F","G","I","L","N","P","R","S","T","V"})),"Ф",""),"")</f>
        <v/>
      </c>
    </row>
    <row r="758" spans="2:9" x14ac:dyDescent="0.3">
      <c r="D758" s="48" t="str">
        <f>CONCATENATE(УЧРЕЖДЕНИЯ!$A$11)</f>
        <v>культура</v>
      </c>
      <c r="E758" s="99" t="s">
        <v>524</v>
      </c>
      <c r="F758" s="100">
        <v>291</v>
      </c>
      <c r="G758" s="100">
        <v>852</v>
      </c>
      <c r="H758" s="17" t="s">
        <v>196</v>
      </c>
      <c r="I758" s="100" t="str">
        <f>IF(OR(F758=152,F758=162,F758=510),IF((OR(LEFT(RIGHT(E758,13),1)={"A","D","E","F","G","I","L","N","P","R","S","T","V"})),"Ф",""),"")</f>
        <v/>
      </c>
    </row>
    <row r="759" spans="2:9" x14ac:dyDescent="0.3">
      <c r="D759" s="48" t="str">
        <f>CONCATENATE(УЧРЕЖДЕНИЯ!$A$11)</f>
        <v>культура</v>
      </c>
      <c r="E759" s="99" t="s">
        <v>525</v>
      </c>
      <c r="F759" s="100">
        <v>291</v>
      </c>
      <c r="G759" s="100">
        <v>853</v>
      </c>
      <c r="H759" s="17" t="s">
        <v>196</v>
      </c>
      <c r="I759" s="100" t="str">
        <f>IF(OR(F759=152,F759=162,F759=510),IF((OR(LEFT(RIGHT(E759,13),1)={"A","D","E","F","G","I","L","N","P","R","S","T","V"})),"Ф",""),"")</f>
        <v/>
      </c>
    </row>
    <row r="760" spans="2:9" x14ac:dyDescent="0.3">
      <c r="D760" s="48" t="str">
        <f>CONCATENATE(УЧРЕЖДЕНИЯ!$A$11)</f>
        <v>культура</v>
      </c>
      <c r="E760" s="99" t="s">
        <v>525</v>
      </c>
      <c r="F760" s="100">
        <v>292</v>
      </c>
      <c r="G760" s="100">
        <v>853</v>
      </c>
      <c r="H760" s="17" t="s">
        <v>196</v>
      </c>
      <c r="I760" s="100" t="str">
        <f>IF(OR(F760=152,F760=162,F760=510),IF((OR(LEFT(RIGHT(E760,13),1)={"A","D","E","F","G","I","L","N","P","R","S","T","V"})),"Ф",""),"")</f>
        <v/>
      </c>
    </row>
    <row r="761" spans="2:9" x14ac:dyDescent="0.3">
      <c r="D761" s="48" t="str">
        <f>CONCATENATE(УЧРЕЖДЕНИЯ!$A$11)</f>
        <v>культура</v>
      </c>
      <c r="E761" s="99" t="s">
        <v>527</v>
      </c>
      <c r="F761" s="100">
        <v>131</v>
      </c>
      <c r="G761" s="100">
        <v>130</v>
      </c>
      <c r="H761" s="17" t="s">
        <v>196</v>
      </c>
      <c r="I761" s="100" t="str">
        <f>IF(OR(F761=152,F761=162,F761=510),IF((OR(LEFT(RIGHT(E761,13),1)={"A","D","E","F","G","I","L","N","P","R","S","T","V"})),"Ф",""),"")</f>
        <v/>
      </c>
    </row>
    <row r="762" spans="2:9" x14ac:dyDescent="0.3">
      <c r="D762" s="48" t="str">
        <f>CONCATENATE(УЧРЕЖДЕНИЯ!$A$11)</f>
        <v>культура</v>
      </c>
      <c r="E762" s="99" t="s">
        <v>528</v>
      </c>
      <c r="F762" s="100">
        <v>211</v>
      </c>
      <c r="G762" s="100">
        <v>111</v>
      </c>
      <c r="H762" s="17" t="s">
        <v>196</v>
      </c>
      <c r="I762" s="100" t="str">
        <f>IF(OR(F762=152,F762=162,F762=510),IF((OR(LEFT(RIGHT(E762,13),1)={"A","D","E","F","G","I","L","N","P","R","S","T","V"})),"Ф",""),"")</f>
        <v/>
      </c>
    </row>
    <row r="763" spans="2:9" x14ac:dyDescent="0.3">
      <c r="D763" s="48" t="str">
        <f>CONCATENATE(УЧРЕЖДЕНИЯ!$A$11)</f>
        <v>культура</v>
      </c>
      <c r="E763" s="99" t="s">
        <v>529</v>
      </c>
      <c r="F763" s="100">
        <v>213</v>
      </c>
      <c r="G763" s="100">
        <v>119</v>
      </c>
      <c r="H763" s="17" t="s">
        <v>196</v>
      </c>
      <c r="I763" s="100" t="str">
        <f>IF(OR(F763=152,F763=162,F763=510),IF((OR(LEFT(RIGHT(E763,13),1)={"A","D","E","F","G","I","L","N","P","R","S","T","V"})),"Ф",""),"")</f>
        <v/>
      </c>
    </row>
    <row r="764" spans="2:9" x14ac:dyDescent="0.3">
      <c r="D764" s="48" t="str">
        <f>CONCATENATE(УЧРЕЖДЕНИЯ!$A$11)</f>
        <v>культура</v>
      </c>
      <c r="E764" s="99" t="s">
        <v>526</v>
      </c>
      <c r="F764" s="100">
        <v>510</v>
      </c>
      <c r="G764" s="100">
        <v>510</v>
      </c>
      <c r="H764" s="17" t="s">
        <v>196</v>
      </c>
      <c r="I764" s="100" t="str">
        <f>IF(OR(F764=152,F764=162,F764=510),IF((OR(LEFT(RIGHT(E764,13),1)={"A","D","E","F","G","I","L","N","P","R","S","T","V"})),"Ф",""),"")</f>
        <v/>
      </c>
    </row>
    <row r="765" spans="2:9" x14ac:dyDescent="0.3">
      <c r="B765" s="48" t="s">
        <v>739</v>
      </c>
      <c r="C765" s="48" t="s">
        <v>204</v>
      </c>
      <c r="D765" s="48" t="str">
        <f>CONCATENATE(УЧРЕЖДЕНИЯ!$A$12)</f>
        <v>спорт</v>
      </c>
      <c r="E765" s="99" t="s">
        <v>429</v>
      </c>
      <c r="F765" s="100">
        <v>131</v>
      </c>
      <c r="G765" s="100">
        <v>130</v>
      </c>
      <c r="H765" s="17" t="s">
        <v>192</v>
      </c>
      <c r="I765" s="100" t="str">
        <f>IF(OR(F765=152,F765=162,F765=510),IF((OR(LEFT(RIGHT(E765,13),1)={"A","D","E","F","G","I","L","N","P","R","S","T","V"})),"Ф",""),"")</f>
        <v/>
      </c>
    </row>
    <row r="766" spans="2:9" x14ac:dyDescent="0.3">
      <c r="D766" s="48" t="str">
        <f>CONCATENATE(УЧРЕЖДЕНИЯ!$A$12)</f>
        <v>спорт</v>
      </c>
      <c r="E766" s="99" t="s">
        <v>430</v>
      </c>
      <c r="F766" s="100">
        <v>211</v>
      </c>
      <c r="G766" s="100">
        <v>111</v>
      </c>
      <c r="H766" s="17" t="s">
        <v>192</v>
      </c>
      <c r="I766" s="100" t="str">
        <f>IF(OR(F766=152,F766=162,F766=510),IF((OR(LEFT(RIGHT(E766,13),1)={"A","D","E","F","G","I","L","N","P","R","S","T","V"})),"Ф",""),"")</f>
        <v/>
      </c>
    </row>
    <row r="767" spans="2:9" x14ac:dyDescent="0.3">
      <c r="D767" s="48" t="str">
        <f>CONCATENATE(УЧРЕЖДЕНИЯ!$A$12)</f>
        <v>спорт</v>
      </c>
      <c r="E767" s="99" t="s">
        <v>431</v>
      </c>
      <c r="F767" s="100">
        <v>213</v>
      </c>
      <c r="G767" s="100">
        <v>119</v>
      </c>
      <c r="H767" s="17" t="s">
        <v>192</v>
      </c>
      <c r="I767" s="100" t="str">
        <f>IF(OR(F767=152,F767=162,F767=510),IF((OR(LEFT(RIGHT(E767,13),1)={"A","D","E","F","G","I","L","N","P","R","S","T","V"})),"Ф",""),"")</f>
        <v/>
      </c>
    </row>
    <row r="768" spans="2:9" x14ac:dyDescent="0.3">
      <c r="D768" s="48" t="str">
        <f>CONCATENATE(УЧРЕЖДЕНИЯ!$A$12)</f>
        <v>спорт</v>
      </c>
      <c r="E768" s="99" t="s">
        <v>432</v>
      </c>
      <c r="F768" s="100">
        <v>225</v>
      </c>
      <c r="G768" s="100">
        <v>244</v>
      </c>
      <c r="H768" s="17" t="s">
        <v>192</v>
      </c>
      <c r="I768" s="100" t="str">
        <f>IF(OR(F768=152,F768=162,F768=510),IF((OR(LEFT(RIGHT(E768,13),1)={"A","D","E","F","G","I","L","N","P","R","S","T","V"})),"Ф",""),"")</f>
        <v/>
      </c>
    </row>
    <row r="769" spans="4:9" x14ac:dyDescent="0.3">
      <c r="D769" s="48" t="str">
        <f>CONCATENATE(УЧРЕЖДЕНИЯ!$A$12)</f>
        <v>спорт</v>
      </c>
      <c r="E769" s="99" t="s">
        <v>432</v>
      </c>
      <c r="F769" s="100">
        <v>226</v>
      </c>
      <c r="G769" s="100">
        <v>244</v>
      </c>
      <c r="H769" s="17" t="s">
        <v>192</v>
      </c>
      <c r="I769" s="100" t="str">
        <f>IF(OR(F769=152,F769=162,F769=510),IF((OR(LEFT(RIGHT(E769,13),1)={"A","D","E","F","G","I","L","N","P","R","S","T","V"})),"Ф",""),"")</f>
        <v/>
      </c>
    </row>
    <row r="770" spans="4:9" x14ac:dyDescent="0.3">
      <c r="D770" s="48" t="str">
        <f>CONCATENATE(УЧРЕЖДЕНИЯ!$A$12)</f>
        <v>спорт</v>
      </c>
      <c r="E770" s="99" t="s">
        <v>432</v>
      </c>
      <c r="F770" s="100">
        <v>310</v>
      </c>
      <c r="G770" s="100">
        <v>244</v>
      </c>
      <c r="H770" s="17" t="s">
        <v>192</v>
      </c>
      <c r="I770" s="100" t="str">
        <f>IF(OR(F770=152,F770=162,F770=510),IF((OR(LEFT(RIGHT(E770,13),1)={"A","D","E","F","G","I","L","N","P","R","S","T","V"})),"Ф",""),"")</f>
        <v/>
      </c>
    </row>
    <row r="771" spans="4:9" x14ac:dyDescent="0.3">
      <c r="D771" s="48" t="str">
        <f>CONCATENATE(УЧРЕЖДЕНИЯ!$A$12)</f>
        <v>спорт</v>
      </c>
      <c r="E771" s="99" t="s">
        <v>434</v>
      </c>
      <c r="F771" s="100">
        <v>346</v>
      </c>
      <c r="G771" s="100">
        <v>244</v>
      </c>
      <c r="H771" s="17" t="s">
        <v>192</v>
      </c>
      <c r="I771" s="100" t="str">
        <f>IF(OR(F771=152,F771=162,F771=510),IF((OR(LEFT(RIGHT(E771,13),1)={"A","D","E","F","G","I","L","N","P","R","S","T","V"})),"Ф",""),"")</f>
        <v/>
      </c>
    </row>
    <row r="772" spans="4:9" x14ac:dyDescent="0.3">
      <c r="D772" s="48" t="str">
        <f>CONCATENATE(УЧРЕЖДЕНИЯ!$A$12)</f>
        <v>спорт</v>
      </c>
      <c r="E772" s="99" t="s">
        <v>531</v>
      </c>
      <c r="F772" s="100">
        <v>131</v>
      </c>
      <c r="G772" s="100">
        <v>130</v>
      </c>
      <c r="H772" s="17" t="s">
        <v>192</v>
      </c>
      <c r="I772" s="100" t="str">
        <f>IF(OR(F772=152,F772=162,F772=510),IF((OR(LEFT(RIGHT(E772,13),1)={"A","D","E","F","G","I","L","N","P","R","S","T","V"})),"Ф",""),"")</f>
        <v/>
      </c>
    </row>
    <row r="773" spans="4:9" x14ac:dyDescent="0.3">
      <c r="D773" s="48" t="str">
        <f>CONCATENATE(УЧРЕЖДЕНИЯ!$A$12)</f>
        <v>спорт</v>
      </c>
      <c r="E773" s="99" t="s">
        <v>532</v>
      </c>
      <c r="F773" s="100">
        <v>211</v>
      </c>
      <c r="G773" s="100">
        <v>111</v>
      </c>
      <c r="H773" s="17" t="s">
        <v>192</v>
      </c>
      <c r="I773" s="100" t="str">
        <f>IF(OR(F773=152,F773=162,F773=510),IF((OR(LEFT(RIGHT(E773,13),1)={"A","D","E","F","G","I","L","N","P","R","S","T","V"})),"Ф",""),"")</f>
        <v/>
      </c>
    </row>
    <row r="774" spans="4:9" x14ac:dyDescent="0.3">
      <c r="D774" s="48" t="str">
        <f>CONCATENATE(УЧРЕЖДЕНИЯ!$A$12)</f>
        <v>спорт</v>
      </c>
      <c r="E774" s="99" t="s">
        <v>532</v>
      </c>
      <c r="F774" s="100">
        <v>266</v>
      </c>
      <c r="G774" s="100">
        <v>111</v>
      </c>
      <c r="H774" s="17" t="s">
        <v>192</v>
      </c>
      <c r="I774" s="100" t="str">
        <f>IF(OR(F774=152,F774=162,F774=510),IF((OR(LEFT(RIGHT(E774,13),1)={"A","D","E","F","G","I","L","N","P","R","S","T","V"})),"Ф",""),"")</f>
        <v/>
      </c>
    </row>
    <row r="775" spans="4:9" x14ac:dyDescent="0.3">
      <c r="D775" s="48" t="str">
        <f>CONCATENATE(УЧРЕЖДЕНИЯ!$A$12)</f>
        <v>спорт</v>
      </c>
      <c r="E775" s="99" t="s">
        <v>535</v>
      </c>
      <c r="F775" s="100">
        <v>213</v>
      </c>
      <c r="G775" s="100">
        <v>119</v>
      </c>
      <c r="H775" s="17" t="s">
        <v>192</v>
      </c>
      <c r="I775" s="100" t="str">
        <f>IF(OR(F775=152,F775=162,F775=510),IF((OR(LEFT(RIGHT(E775,13),1)={"A","D","E","F","G","I","L","N","P","R","S","T","V"})),"Ф",""),"")</f>
        <v/>
      </c>
    </row>
    <row r="776" spans="4:9" x14ac:dyDescent="0.3">
      <c r="D776" s="48" t="str">
        <f>CONCATENATE(УЧРЕЖДЕНИЯ!$A$12)</f>
        <v>спорт</v>
      </c>
      <c r="E776" s="99" t="s">
        <v>531</v>
      </c>
      <c r="F776" s="100">
        <v>131</v>
      </c>
      <c r="G776" s="100">
        <v>130</v>
      </c>
      <c r="H776" s="17" t="s">
        <v>197</v>
      </c>
      <c r="I776" s="100" t="str">
        <f>IF(OR(F776=152,F776=162,F776=510),IF((OR(LEFT(RIGHT(E776,13),1)={"A","D","E","F","G","I","L","N","P","R","S","T","V"})),"Ф",""),"")</f>
        <v/>
      </c>
    </row>
    <row r="777" spans="4:9" x14ac:dyDescent="0.3">
      <c r="D777" s="48" t="str">
        <f>CONCATENATE(УЧРЕЖДЕНИЯ!$A$12)</f>
        <v>спорт</v>
      </c>
      <c r="E777" s="99" t="s">
        <v>532</v>
      </c>
      <c r="F777" s="100">
        <v>211</v>
      </c>
      <c r="G777" s="100">
        <v>111</v>
      </c>
      <c r="H777" s="17" t="s">
        <v>197</v>
      </c>
      <c r="I777" s="100" t="str">
        <f>IF(OR(F777=152,F777=162,F777=510),IF((OR(LEFT(RIGHT(E777,13),1)={"A","D","E","F","G","I","L","N","P","R","S","T","V"})),"Ф",""),"")</f>
        <v/>
      </c>
    </row>
    <row r="778" spans="4:9" x14ac:dyDescent="0.3">
      <c r="D778" s="48" t="str">
        <f>CONCATENATE(УЧРЕЖДЕНИЯ!$A$12)</f>
        <v>спорт</v>
      </c>
      <c r="E778" s="99" t="s">
        <v>532</v>
      </c>
      <c r="F778" s="100">
        <v>266</v>
      </c>
      <c r="G778" s="100">
        <v>111</v>
      </c>
      <c r="H778" s="17" t="s">
        <v>197</v>
      </c>
      <c r="I778" s="100" t="str">
        <f>IF(OR(F778=152,F778=162,F778=510),IF((OR(LEFT(RIGHT(E778,13),1)={"A","D","E","F","G","I","L","N","P","R","S","T","V"})),"Ф",""),"")</f>
        <v/>
      </c>
    </row>
    <row r="779" spans="4:9" x14ac:dyDescent="0.3">
      <c r="D779" s="48" t="str">
        <f>CONCATENATE(УЧРЕЖДЕНИЯ!$A$12)</f>
        <v>спорт</v>
      </c>
      <c r="E779" s="99" t="s">
        <v>533</v>
      </c>
      <c r="F779" s="100">
        <v>212</v>
      </c>
      <c r="G779" s="100">
        <v>112</v>
      </c>
      <c r="H779" s="17" t="s">
        <v>197</v>
      </c>
      <c r="I779" s="100" t="str">
        <f>IF(OR(F779=152,F779=162,F779=510),IF((OR(LEFT(RIGHT(E779,13),1)={"A","D","E","F","G","I","L","N","P","R","S","T","V"})),"Ф",""),"")</f>
        <v/>
      </c>
    </row>
    <row r="780" spans="4:9" x14ac:dyDescent="0.3">
      <c r="D780" s="48" t="str">
        <f>CONCATENATE(УЧРЕЖДЕНИЯ!$A$12)</f>
        <v>спорт</v>
      </c>
      <c r="E780" s="99" t="s">
        <v>533</v>
      </c>
      <c r="F780" s="100">
        <v>226</v>
      </c>
      <c r="G780" s="100">
        <v>112</v>
      </c>
      <c r="H780" s="17" t="s">
        <v>197</v>
      </c>
      <c r="I780" s="100" t="str">
        <f>IF(OR(F780=152,F780=162,F780=510),IF((OR(LEFT(RIGHT(E780,13),1)={"A","D","E","F","G","I","L","N","P","R","S","T","V"})),"Ф",""),"")</f>
        <v/>
      </c>
    </row>
    <row r="781" spans="4:9" x14ac:dyDescent="0.3">
      <c r="D781" s="48" t="str">
        <f>CONCATENATE(УЧРЕЖДЕНИЯ!$A$12)</f>
        <v>спорт</v>
      </c>
      <c r="E781" s="99" t="s">
        <v>533</v>
      </c>
      <c r="F781" s="100">
        <v>266</v>
      </c>
      <c r="G781" s="100">
        <v>112</v>
      </c>
      <c r="H781" s="17" t="s">
        <v>197</v>
      </c>
      <c r="I781" s="100" t="str">
        <f>IF(OR(F781=152,F781=162,F781=510),IF((OR(LEFT(RIGHT(E781,13),1)={"A","D","E","F","G","I","L","N","P","R","S","T","V"})),"Ф",""),"")</f>
        <v/>
      </c>
    </row>
    <row r="782" spans="4:9" x14ac:dyDescent="0.3">
      <c r="D782" s="48" t="str">
        <f>CONCATENATE(УЧРЕЖДЕНИЯ!$A$12)</f>
        <v>спорт</v>
      </c>
      <c r="E782" s="99" t="s">
        <v>534</v>
      </c>
      <c r="F782" s="100">
        <v>226</v>
      </c>
      <c r="G782" s="100">
        <v>113</v>
      </c>
      <c r="H782" s="17" t="s">
        <v>197</v>
      </c>
      <c r="I782" s="100" t="str">
        <f>IF(OR(F782=152,F782=162,F782=510),IF((OR(LEFT(RIGHT(E782,13),1)={"A","D","E","F","G","I","L","N","P","R","S","T","V"})),"Ф",""),"")</f>
        <v/>
      </c>
    </row>
    <row r="783" spans="4:9" x14ac:dyDescent="0.3">
      <c r="D783" s="48" t="str">
        <f>CONCATENATE(УЧРЕЖДЕНИЯ!$A$12)</f>
        <v>спорт</v>
      </c>
      <c r="E783" s="99" t="s">
        <v>535</v>
      </c>
      <c r="F783" s="100">
        <v>213</v>
      </c>
      <c r="G783" s="100">
        <v>119</v>
      </c>
      <c r="H783" s="17" t="s">
        <v>197</v>
      </c>
      <c r="I783" s="100" t="str">
        <f>IF(OR(F783=152,F783=162,F783=510),IF((OR(LEFT(RIGHT(E783,13),1)={"A","D","E","F","G","I","L","N","P","R","S","T","V"})),"Ф",""),"")</f>
        <v/>
      </c>
    </row>
    <row r="784" spans="4:9" x14ac:dyDescent="0.3">
      <c r="D784" s="48" t="str">
        <f>CONCATENATE(УЧРЕЖДЕНИЯ!$A$12)</f>
        <v>спорт</v>
      </c>
      <c r="E784" s="99" t="s">
        <v>536</v>
      </c>
      <c r="F784" s="100">
        <v>221</v>
      </c>
      <c r="G784" s="100">
        <v>244</v>
      </c>
      <c r="H784" s="17" t="s">
        <v>197</v>
      </c>
      <c r="I784" s="100" t="str">
        <f>IF(OR(F784=152,F784=162,F784=510),IF((OR(LEFT(RIGHT(E784,13),1)={"A","D","E","F","G","I","L","N","P","R","S","T","V"})),"Ф",""),"")</f>
        <v/>
      </c>
    </row>
    <row r="785" spans="4:9" x14ac:dyDescent="0.3">
      <c r="D785" s="48" t="str">
        <f>CONCATENATE(УЧРЕЖДЕНИЯ!$A$12)</f>
        <v>спорт</v>
      </c>
      <c r="E785" s="99" t="s">
        <v>536</v>
      </c>
      <c r="F785" s="100">
        <v>222</v>
      </c>
      <c r="G785" s="100">
        <v>244</v>
      </c>
      <c r="H785" s="17" t="s">
        <v>197</v>
      </c>
      <c r="I785" s="100" t="str">
        <f>IF(OR(F785=152,F785=162,F785=510),IF((OR(LEFT(RIGHT(E785,13),1)={"A","D","E","F","G","I","L","N","P","R","S","T","V"})),"Ф",""),"")</f>
        <v/>
      </c>
    </row>
    <row r="786" spans="4:9" x14ac:dyDescent="0.3">
      <c r="D786" s="48" t="str">
        <f>CONCATENATE(УЧРЕЖДЕНИЯ!$A$12)</f>
        <v>спорт</v>
      </c>
      <c r="E786" s="99" t="s">
        <v>817</v>
      </c>
      <c r="F786" s="100">
        <v>2232</v>
      </c>
      <c r="G786" s="100">
        <v>244</v>
      </c>
      <c r="H786" s="17" t="s">
        <v>197</v>
      </c>
      <c r="I786" s="100" t="str">
        <f>IF(OR(F786=152,F786=162,F786=510),IF((OR(LEFT(RIGHT(E786,13),1)={"A","D","E","F","G","I","L","N","P","R","S","T","V"})),"Ф",""),"")</f>
        <v/>
      </c>
    </row>
    <row r="787" spans="4:9" x14ac:dyDescent="0.3">
      <c r="D787" s="48" t="str">
        <f>CONCATENATE(УЧРЕЖДЕНИЯ!$A$12)</f>
        <v>спорт</v>
      </c>
      <c r="E787" s="99" t="s">
        <v>537</v>
      </c>
      <c r="F787" s="100">
        <v>2233</v>
      </c>
      <c r="G787" s="100">
        <v>244</v>
      </c>
      <c r="H787" s="17" t="s">
        <v>197</v>
      </c>
      <c r="I787" s="100" t="str">
        <f>IF(OR(F787=152,F787=162,F787=510),IF((OR(LEFT(RIGHT(E787,13),1)={"A","D","E","F","G","I","L","N","P","R","S","T","V"})),"Ф",""),"")</f>
        <v/>
      </c>
    </row>
    <row r="788" spans="4:9" x14ac:dyDescent="0.3">
      <c r="D788" s="48" t="str">
        <f>CONCATENATE(УЧРЕЖДЕНИЯ!$A$12)</f>
        <v>спорт</v>
      </c>
      <c r="E788" s="99" t="s">
        <v>675</v>
      </c>
      <c r="F788" s="100">
        <v>2234</v>
      </c>
      <c r="G788" s="100">
        <v>244</v>
      </c>
      <c r="H788" s="17" t="s">
        <v>197</v>
      </c>
      <c r="I788" s="100" t="str">
        <f>IF(OR(F788=152,F788=162,F788=510),IF((OR(LEFT(RIGHT(E788,13),1)={"A","D","E","F","G","I","L","N","P","R","S","T","V"})),"Ф",""),"")</f>
        <v/>
      </c>
    </row>
    <row r="789" spans="4:9" x14ac:dyDescent="0.3">
      <c r="D789" s="48" t="str">
        <f>CONCATENATE(УЧРЕЖДЕНИЯ!$A$12)</f>
        <v>спорт</v>
      </c>
      <c r="E789" s="99" t="s">
        <v>536</v>
      </c>
      <c r="F789" s="100">
        <v>225</v>
      </c>
      <c r="G789" s="100">
        <v>244</v>
      </c>
      <c r="H789" s="17" t="s">
        <v>197</v>
      </c>
      <c r="I789" s="100" t="str">
        <f>IF(OR(F789=152,F789=162,F789=510),IF((OR(LEFT(RIGHT(E789,13),1)={"A","D","E","F","G","I","L","N","P","R","S","T","V"})),"Ф",""),"")</f>
        <v/>
      </c>
    </row>
    <row r="790" spans="4:9" x14ac:dyDescent="0.3">
      <c r="D790" s="48" t="str">
        <f>CONCATENATE(УЧРЕЖДЕНИЯ!$A$12)</f>
        <v>спорт</v>
      </c>
      <c r="E790" s="99" t="s">
        <v>536</v>
      </c>
      <c r="F790" s="100">
        <v>226</v>
      </c>
      <c r="G790" s="100">
        <v>244</v>
      </c>
      <c r="H790" s="17" t="s">
        <v>197</v>
      </c>
      <c r="I790" s="100" t="str">
        <f>IF(OR(F790=152,F790=162,F790=510),IF((OR(LEFT(RIGHT(E790,13),1)={"A","D","E","F","G","I","L","N","P","R","S","T","V"})),"Ф",""),"")</f>
        <v/>
      </c>
    </row>
    <row r="791" spans="4:9" x14ac:dyDescent="0.3">
      <c r="D791" s="48" t="str">
        <f>CONCATENATE(УЧРЕЖДЕНИЯ!$A$12)</f>
        <v>спорт</v>
      </c>
      <c r="E791" s="99" t="s">
        <v>536</v>
      </c>
      <c r="F791" s="100">
        <v>227</v>
      </c>
      <c r="G791" s="100">
        <v>244</v>
      </c>
      <c r="H791" s="17" t="s">
        <v>197</v>
      </c>
      <c r="I791" s="100" t="str">
        <f>IF(OR(F791=152,F791=162,F791=510),IF((OR(LEFT(RIGHT(E791,13),1)={"A","D","E","F","G","I","L","N","P","R","S","T","V"})),"Ф",""),"")</f>
        <v/>
      </c>
    </row>
    <row r="792" spans="4:9" x14ac:dyDescent="0.3">
      <c r="D792" s="48" t="str">
        <f>CONCATENATE(УЧРЕЖДЕНИЯ!$A$12)</f>
        <v>спорт</v>
      </c>
      <c r="E792" s="99" t="s">
        <v>536</v>
      </c>
      <c r="F792" s="100">
        <v>228</v>
      </c>
      <c r="G792" s="100">
        <v>244</v>
      </c>
      <c r="H792" s="17" t="s">
        <v>197</v>
      </c>
      <c r="I792" s="100" t="str">
        <f>IF(OR(F792=152,F792=162,F792=510),IF((OR(LEFT(RIGHT(E792,13),1)={"A","D","E","F","G","I","L","N","P","R","S","T","V"})),"Ф",""),"")</f>
        <v/>
      </c>
    </row>
    <row r="793" spans="4:9" x14ac:dyDescent="0.3">
      <c r="D793" s="48" t="str">
        <f>CONCATENATE(УЧРЕЖДЕНИЯ!$A$12)</f>
        <v>спорт</v>
      </c>
      <c r="E793" s="99" t="s">
        <v>536</v>
      </c>
      <c r="F793" s="100">
        <v>310</v>
      </c>
      <c r="G793" s="100">
        <v>244</v>
      </c>
      <c r="H793" s="17" t="s">
        <v>197</v>
      </c>
      <c r="I793" s="100" t="str">
        <f>IF(OR(F793=152,F793=162,F793=510),IF((OR(LEFT(RIGHT(E793,13),1)={"A","D","E","F","G","I","L","N","P","R","S","T","V"})),"Ф",""),"")</f>
        <v/>
      </c>
    </row>
    <row r="794" spans="4:9" x14ac:dyDescent="0.3">
      <c r="D794" s="48" t="str">
        <f>CONCATENATE(УЧРЕЖДЕНИЯ!$A$12)</f>
        <v>спорт</v>
      </c>
      <c r="E794" s="99" t="s">
        <v>536</v>
      </c>
      <c r="F794" s="100">
        <v>341</v>
      </c>
      <c r="G794" s="100">
        <v>244</v>
      </c>
      <c r="H794" s="17" t="s">
        <v>197</v>
      </c>
      <c r="I794" s="100" t="str">
        <f>IF(OR(F794=152,F794=162,F794=510),IF((OR(LEFT(RIGHT(E794,13),1)={"A","D","E","F","G","I","L","N","P","R","S","T","V"})),"Ф",""),"")</f>
        <v/>
      </c>
    </row>
    <row r="795" spans="4:9" x14ac:dyDescent="0.3">
      <c r="D795" s="48" t="str">
        <f>CONCATENATE(УЧРЕЖДЕНИЯ!$A$12)</f>
        <v>спорт</v>
      </c>
      <c r="E795" s="99" t="s">
        <v>536</v>
      </c>
      <c r="F795" s="100">
        <v>343</v>
      </c>
      <c r="G795" s="100">
        <v>244</v>
      </c>
      <c r="H795" s="17" t="s">
        <v>197</v>
      </c>
      <c r="I795" s="100" t="str">
        <f>IF(OR(F795=152,F795=162,F795=510),IF((OR(LEFT(RIGHT(E795,13),1)={"A","D","E","F","G","I","L","N","P","R","S","T","V"})),"Ф",""),"")</f>
        <v/>
      </c>
    </row>
    <row r="796" spans="4:9" x14ac:dyDescent="0.3">
      <c r="D796" s="48" t="str">
        <f>CONCATENATE(УЧРЕЖДЕНИЯ!$A$12)</f>
        <v>спорт</v>
      </c>
      <c r="E796" s="99" t="s">
        <v>536</v>
      </c>
      <c r="F796" s="100">
        <v>344</v>
      </c>
      <c r="G796" s="100">
        <v>244</v>
      </c>
      <c r="H796" s="17" t="s">
        <v>197</v>
      </c>
      <c r="I796" s="100" t="str">
        <f>IF(OR(F796=152,F796=162,F796=510),IF((OR(LEFT(RIGHT(E796,13),1)={"A","D","E","F","G","I","L","N","P","R","S","T","V"})),"Ф",""),"")</f>
        <v/>
      </c>
    </row>
    <row r="797" spans="4:9" x14ac:dyDescent="0.3">
      <c r="D797" s="48" t="str">
        <f>CONCATENATE(УЧРЕЖДЕНИЯ!$A$12)</f>
        <v>спорт</v>
      </c>
      <c r="E797" s="99" t="s">
        <v>536</v>
      </c>
      <c r="F797" s="100">
        <v>345</v>
      </c>
      <c r="G797" s="100">
        <v>244</v>
      </c>
      <c r="H797" s="17" t="s">
        <v>197</v>
      </c>
      <c r="I797" s="100" t="str">
        <f>IF(OR(F797=152,F797=162,F797=510),IF((OR(LEFT(RIGHT(E797,13),1)={"A","D","E","F","G","I","L","N","P","R","S","T","V"})),"Ф",""),"")</f>
        <v/>
      </c>
    </row>
    <row r="798" spans="4:9" x14ac:dyDescent="0.3">
      <c r="D798" s="48" t="str">
        <f>CONCATENATE(УЧРЕЖДЕНИЯ!$A$12)</f>
        <v>спорт</v>
      </c>
      <c r="E798" s="99" t="s">
        <v>536</v>
      </c>
      <c r="F798" s="100">
        <v>346</v>
      </c>
      <c r="G798" s="100">
        <v>244</v>
      </c>
      <c r="H798" s="17" t="s">
        <v>197</v>
      </c>
      <c r="I798" s="100" t="str">
        <f>IF(OR(F798=152,F798=162,F798=510),IF((OR(LEFT(RIGHT(E798,13),1)={"A","D","E","F","G","I","L","N","P","R","S","T","V"})),"Ф",""),"")</f>
        <v/>
      </c>
    </row>
    <row r="799" spans="4:9" x14ac:dyDescent="0.3">
      <c r="D799" s="48" t="str">
        <f>CONCATENATE(УЧРЕЖДЕНИЯ!$A$12)</f>
        <v>спорт</v>
      </c>
      <c r="E799" s="99" t="s">
        <v>536</v>
      </c>
      <c r="F799" s="100">
        <v>349</v>
      </c>
      <c r="G799" s="100">
        <v>244</v>
      </c>
      <c r="H799" s="17" t="s">
        <v>197</v>
      </c>
      <c r="I799" s="100" t="str">
        <f>IF(OR(F799=152,F799=162,F799=510),IF((OR(LEFT(RIGHT(E799,13),1)={"A","D","E","F","G","I","L","N","P","R","S","T","V"})),"Ф",""),"")</f>
        <v/>
      </c>
    </row>
    <row r="800" spans="4:9" x14ac:dyDescent="0.3">
      <c r="D800" s="48" t="str">
        <f>CONCATENATE(УЧРЕЖДЕНИЯ!$A$12)</f>
        <v>спорт</v>
      </c>
      <c r="E800" s="99" t="s">
        <v>694</v>
      </c>
      <c r="F800" s="100">
        <v>2231</v>
      </c>
      <c r="G800" s="100">
        <v>247</v>
      </c>
      <c r="H800" s="17" t="s">
        <v>197</v>
      </c>
      <c r="I800" s="100" t="str">
        <f>IF(OR(F800=152,F800=162,F800=510),IF((OR(LEFT(RIGHT(E800,13),1)={"A","D","E","F","G","I","L","N","P","R","S","T","V"})),"Ф",""),"")</f>
        <v/>
      </c>
    </row>
    <row r="801" spans="2:9" x14ac:dyDescent="0.3">
      <c r="D801" s="48" t="str">
        <f>CONCATENATE(УЧРЕЖДЕНИЯ!$A$12)</f>
        <v>спорт</v>
      </c>
      <c r="E801" s="99" t="s">
        <v>705</v>
      </c>
      <c r="F801" s="100">
        <v>2232</v>
      </c>
      <c r="G801" s="100">
        <v>247</v>
      </c>
      <c r="H801" s="17" t="s">
        <v>197</v>
      </c>
      <c r="I801" s="100" t="str">
        <f>IF(OR(F801=152,F801=162,F801=510),IF((OR(LEFT(RIGHT(E801,13),1)={"A","D","E","F","G","I","L","N","P","R","S","T","V"})),"Ф",""),"")</f>
        <v/>
      </c>
    </row>
    <row r="802" spans="2:9" x14ac:dyDescent="0.3">
      <c r="D802" s="48" t="str">
        <f>CONCATENATE(УЧРЕЖДЕНИЯ!$A$12)</f>
        <v>спорт</v>
      </c>
      <c r="E802" s="99" t="s">
        <v>530</v>
      </c>
      <c r="F802" s="100">
        <v>510</v>
      </c>
      <c r="G802" s="100">
        <v>510</v>
      </c>
      <c r="H802" s="17" t="s">
        <v>197</v>
      </c>
      <c r="I802" s="100" t="str">
        <f>IF(OR(F802=152,F802=162,F802=510),IF((OR(LEFT(RIGHT(E802,13),1)={"A","D","E","F","G","I","L","N","P","R","S","T","V"})),"Ф",""),"")</f>
        <v/>
      </c>
    </row>
    <row r="803" spans="2:9" x14ac:dyDescent="0.3">
      <c r="D803" s="48" t="str">
        <f>CONCATENATE(УЧРЕЖДЕНИЯ!$A$12)</f>
        <v>спорт</v>
      </c>
      <c r="E803" s="99" t="s">
        <v>853</v>
      </c>
      <c r="F803" s="100">
        <v>610</v>
      </c>
      <c r="G803" s="100">
        <v>610</v>
      </c>
      <c r="H803" s="17" t="s">
        <v>197</v>
      </c>
      <c r="I803" s="100" t="str">
        <f>IF(OR(F803=152,F803=162,F803=510),IF((OR(LEFT(RIGHT(E803,13),1)={"A","D","E","F","G","I","L","N","P","R","S","T","V"})),"Ф",""),"")</f>
        <v/>
      </c>
    </row>
    <row r="804" spans="2:9" x14ac:dyDescent="0.3">
      <c r="D804" s="48" t="str">
        <f>CONCATENATE(УЧРЕЖДЕНИЯ!$A$12)</f>
        <v>спорт</v>
      </c>
      <c r="E804" s="99" t="s">
        <v>538</v>
      </c>
      <c r="F804" s="100">
        <v>291</v>
      </c>
      <c r="G804" s="100">
        <v>851</v>
      </c>
      <c r="H804" s="17" t="s">
        <v>197</v>
      </c>
      <c r="I804" s="100" t="str">
        <f>IF(OR(F804=152,F804=162,F804=510),IF((OR(LEFT(RIGHT(E804,13),1)={"A","D","E","F","G","I","L","N","P","R","S","T","V"})),"Ф",""),"")</f>
        <v/>
      </c>
    </row>
    <row r="805" spans="2:9" x14ac:dyDescent="0.3">
      <c r="D805" s="48" t="str">
        <f>CONCATENATE(УЧРЕЖДЕНИЯ!$A$12)</f>
        <v>спорт</v>
      </c>
      <c r="E805" s="99" t="s">
        <v>539</v>
      </c>
      <c r="F805" s="100">
        <v>291</v>
      </c>
      <c r="G805" s="100">
        <v>852</v>
      </c>
      <c r="H805" s="17" t="s">
        <v>197</v>
      </c>
      <c r="I805" s="100" t="str">
        <f>IF(OR(F805=152,F805=162,F805=510),IF((OR(LEFT(RIGHT(E805,13),1)={"A","D","E","F","G","I","L","N","P","R","S","T","V"})),"Ф",""),"")</f>
        <v/>
      </c>
    </row>
    <row r="806" spans="2:9" x14ac:dyDescent="0.3">
      <c r="D806" s="48" t="str">
        <f>CONCATENATE(УЧРЕЖДЕНИЯ!$A$12)</f>
        <v>спорт</v>
      </c>
      <c r="E806" s="99" t="s">
        <v>540</v>
      </c>
      <c r="F806" s="100">
        <v>291</v>
      </c>
      <c r="G806" s="100">
        <v>853</v>
      </c>
      <c r="H806" s="17" t="s">
        <v>197</v>
      </c>
      <c r="I806" s="100" t="str">
        <f>IF(OR(F806=152,F806=162,F806=510),IF((OR(LEFT(RIGHT(E806,13),1)={"A","D","E","F","G","I","L","N","P","R","S","T","V"})),"Ф",""),"")</f>
        <v/>
      </c>
    </row>
    <row r="807" spans="2:9" x14ac:dyDescent="0.3">
      <c r="D807" s="48" t="str">
        <f>CONCATENATE(УЧРЕЖДЕНИЯ!$A$12)</f>
        <v>спорт</v>
      </c>
      <c r="E807" s="99" t="s">
        <v>540</v>
      </c>
      <c r="F807" s="100">
        <v>293</v>
      </c>
      <c r="G807" s="100">
        <v>853</v>
      </c>
      <c r="H807" s="17" t="s">
        <v>197</v>
      </c>
      <c r="I807" s="100" t="str">
        <f>IF(OR(F807=152,F807=162,F807=510),IF((OR(LEFT(RIGHT(E807,13),1)={"A","D","E","F","G","I","L","N","P","R","S","T","V"})),"Ф",""),"")</f>
        <v/>
      </c>
    </row>
    <row r="808" spans="2:9" x14ac:dyDescent="0.3">
      <c r="D808" s="48" t="str">
        <f>CONCATENATE(УЧРЕЖДЕНИЯ!$A$12)</f>
        <v>спорт</v>
      </c>
      <c r="E808" s="99" t="s">
        <v>542</v>
      </c>
      <c r="F808" s="100">
        <v>131</v>
      </c>
      <c r="G808" s="100">
        <v>130</v>
      </c>
      <c r="H808" s="17" t="s">
        <v>197</v>
      </c>
      <c r="I808" s="100" t="str">
        <f>IF(OR(F808=152,F808=162,F808=510),IF((OR(LEFT(RIGHT(E808,13),1)={"A","D","E","F","G","I","L","N","P","R","S","T","V"})),"Ф",""),"")</f>
        <v/>
      </c>
    </row>
    <row r="809" spans="2:9" x14ac:dyDescent="0.3">
      <c r="D809" s="48" t="str">
        <f>CONCATENATE(УЧРЕЖДЕНИЯ!$A$12)</f>
        <v>спорт</v>
      </c>
      <c r="E809" s="99" t="s">
        <v>543</v>
      </c>
      <c r="F809" s="100">
        <v>211</v>
      </c>
      <c r="G809" s="100">
        <v>111</v>
      </c>
      <c r="H809" s="17" t="s">
        <v>197</v>
      </c>
      <c r="I809" s="100" t="str">
        <f>IF(OR(F809=152,F809=162,F809=510),IF((OR(LEFT(RIGHT(E809,13),1)={"A","D","E","F","G","I","L","N","P","R","S","T","V"})),"Ф",""),"")</f>
        <v/>
      </c>
    </row>
    <row r="810" spans="2:9" x14ac:dyDescent="0.3">
      <c r="D810" s="48" t="str">
        <f>CONCATENATE(УЧРЕЖДЕНИЯ!$A$12)</f>
        <v>спорт</v>
      </c>
      <c r="E810" s="99" t="s">
        <v>544</v>
      </c>
      <c r="F810" s="100">
        <v>213</v>
      </c>
      <c r="G810" s="100">
        <v>119</v>
      </c>
      <c r="H810" s="17" t="s">
        <v>197</v>
      </c>
      <c r="I810" s="100" t="str">
        <f>IF(OR(F810=152,F810=162,F810=510),IF((OR(LEFT(RIGHT(E810,13),1)={"A","D","E","F","G","I","L","N","P","R","S","T","V"})),"Ф",""),"")</f>
        <v/>
      </c>
    </row>
    <row r="811" spans="2:9" x14ac:dyDescent="0.3">
      <c r="D811" s="48" t="str">
        <f>CONCATENATE(УЧРЕЖДЕНИЯ!$A$12)</f>
        <v>спорт</v>
      </c>
      <c r="E811" s="99" t="s">
        <v>541</v>
      </c>
      <c r="F811" s="100">
        <v>510</v>
      </c>
      <c r="G811" s="100">
        <v>510</v>
      </c>
      <c r="H811" s="17" t="s">
        <v>197</v>
      </c>
      <c r="I811" s="100" t="str">
        <f>IF(OR(F811=152,F811=162,F811=510),IF((OR(LEFT(RIGHT(E811,13),1)={"A","D","E","F","G","I","L","N","P","R","S","T","V"})),"Ф",""),"")</f>
        <v/>
      </c>
    </row>
    <row r="812" spans="2:9" x14ac:dyDescent="0.3">
      <c r="B812" s="48" t="s">
        <v>739</v>
      </c>
      <c r="C812" s="48" t="s">
        <v>138</v>
      </c>
      <c r="D812" s="48" t="str">
        <f>CONCATENATE(УЧРЕЖДЕНИЯ!$A$10)</f>
        <v>газета</v>
      </c>
      <c r="E812" s="99" t="s">
        <v>546</v>
      </c>
      <c r="F812" s="100">
        <v>131</v>
      </c>
      <c r="G812" s="100">
        <v>130</v>
      </c>
      <c r="H812" s="17" t="s">
        <v>198</v>
      </c>
      <c r="I812" s="100" t="str">
        <f>IF(OR(F812=152,F812=162,F812=510),IF((OR(LEFT(RIGHT(E812,13),1)={"A","D","E","F","G","I","L","N","P","R","S","T","V"})),"Ф",""),"")</f>
        <v/>
      </c>
    </row>
    <row r="813" spans="2:9" x14ac:dyDescent="0.3">
      <c r="D813" s="48" t="str">
        <f>CONCATENATE(УЧРЕЖДЕНИЯ!$A$10)</f>
        <v>газета</v>
      </c>
      <c r="E813" s="99" t="s">
        <v>547</v>
      </c>
      <c r="F813" s="100">
        <v>211</v>
      </c>
      <c r="G813" s="100">
        <v>111</v>
      </c>
      <c r="H813" s="17" t="s">
        <v>198</v>
      </c>
      <c r="I813" s="100" t="str">
        <f>IF(OR(F813=152,F813=162,F813=510),IF((OR(LEFT(RIGHT(E813,13),1)={"A","D","E","F","G","I","L","N","P","R","S","T","V"})),"Ф",""),"")</f>
        <v/>
      </c>
    </row>
    <row r="814" spans="2:9" x14ac:dyDescent="0.3">
      <c r="D814" s="48" t="str">
        <f>CONCATENATE(УЧРЕЖДЕНИЯ!$A$10)</f>
        <v>газета</v>
      </c>
      <c r="E814" s="99" t="s">
        <v>548</v>
      </c>
      <c r="F814" s="100">
        <v>213</v>
      </c>
      <c r="G814" s="100">
        <v>119</v>
      </c>
      <c r="H814" s="17" t="s">
        <v>198</v>
      </c>
      <c r="I814" s="100" t="str">
        <f>IF(OR(F814=152,F814=162,F814=510),IF((OR(LEFT(RIGHT(E814,13),1)={"A","D","E","F","G","I","L","N","P","R","S","T","V"})),"Ф",""),"")</f>
        <v/>
      </c>
    </row>
    <row r="815" spans="2:9" x14ac:dyDescent="0.3">
      <c r="D815" s="48" t="str">
        <f>CONCATENATE(УЧРЕЖДЕНИЯ!$A$10)</f>
        <v>газета</v>
      </c>
      <c r="E815" s="99" t="s">
        <v>549</v>
      </c>
      <c r="F815" s="100">
        <v>222</v>
      </c>
      <c r="G815" s="100">
        <v>244</v>
      </c>
      <c r="H815" s="17" t="s">
        <v>198</v>
      </c>
      <c r="I815" s="100" t="str">
        <f>IF(OR(F815=152,F815=162,F815=510),IF((OR(LEFT(RIGHT(E815,13),1)={"A","D","E","F","G","I","L","N","P","R","S","T","V"})),"Ф",""),"")</f>
        <v/>
      </c>
    </row>
    <row r="816" spans="2:9" x14ac:dyDescent="0.3">
      <c r="D816" s="48" t="str">
        <f>CONCATENATE(УЧРЕЖДЕНИЯ!$A$10)</f>
        <v>газета</v>
      </c>
      <c r="E816" s="99" t="s">
        <v>549</v>
      </c>
      <c r="F816" s="100">
        <v>226</v>
      </c>
      <c r="G816" s="100">
        <v>244</v>
      </c>
      <c r="H816" s="17" t="s">
        <v>198</v>
      </c>
      <c r="I816" s="100" t="str">
        <f>IF(OR(F816=152,F816=162,F816=510),IF((OR(LEFT(RIGHT(E816,13),1)={"A","D","E","F","G","I","L","N","P","R","S","T","V"})),"Ф",""),"")</f>
        <v/>
      </c>
    </row>
    <row r="817" spans="1:9" x14ac:dyDescent="0.3">
      <c r="D817" s="48" t="str">
        <f>CONCATENATE(УЧРЕЖДЕНИЯ!$A$10)</f>
        <v>газета</v>
      </c>
      <c r="E817" s="99" t="s">
        <v>706</v>
      </c>
      <c r="F817" s="100">
        <v>2232</v>
      </c>
      <c r="G817" s="100">
        <v>247</v>
      </c>
      <c r="H817" s="17" t="s">
        <v>198</v>
      </c>
      <c r="I817" s="100" t="str">
        <f>IF(OR(F817=152,F817=162,F817=510),IF((OR(LEFT(RIGHT(E817,13),1)={"A","D","E","F","G","I","L","N","P","R","S","T","V"})),"Ф",""),"")</f>
        <v/>
      </c>
    </row>
    <row r="818" spans="1:9" x14ac:dyDescent="0.3">
      <c r="D818" s="48" t="str">
        <f>CONCATENATE(УЧРЕЖДЕНИЯ!$A$10)</f>
        <v>газета</v>
      </c>
      <c r="E818" s="99" t="s">
        <v>545</v>
      </c>
      <c r="F818" s="100">
        <v>510</v>
      </c>
      <c r="G818" s="100">
        <v>510</v>
      </c>
      <c r="H818" s="17" t="s">
        <v>198</v>
      </c>
      <c r="I818" s="100" t="str">
        <f>IF(OR(F818=152,F818=162,F818=510),IF((OR(LEFT(RIGHT(E818,13),1)={"A","D","E","F","G","I","L","N","P","R","S","T","V"})),"Ф",""),"")</f>
        <v/>
      </c>
    </row>
    <row r="819" spans="1:9" x14ac:dyDescent="0.3">
      <c r="D819" s="48" t="str">
        <f>CONCATENATE(УЧРЕЖДЕНИЯ!$A$10)</f>
        <v>газета</v>
      </c>
      <c r="E819" s="99" t="s">
        <v>551</v>
      </c>
      <c r="F819" s="100">
        <v>131</v>
      </c>
      <c r="G819" s="100">
        <v>130</v>
      </c>
      <c r="H819" s="17" t="s">
        <v>198</v>
      </c>
      <c r="I819" s="100" t="str">
        <f>IF(OR(F819=152,F819=162,F819=510),IF((OR(LEFT(RIGHT(E819,13),1)={"A","D","E","F","G","I","L","N","P","R","S","T","V"})),"Ф",""),"")</f>
        <v/>
      </c>
    </row>
    <row r="820" spans="1:9" x14ac:dyDescent="0.3">
      <c r="D820" s="48" t="str">
        <f>CONCATENATE(УЧРЕЖДЕНИЯ!$A$10)</f>
        <v>газета</v>
      </c>
      <c r="E820" s="99" t="s">
        <v>552</v>
      </c>
      <c r="F820" s="100">
        <v>211</v>
      </c>
      <c r="G820" s="100">
        <v>111</v>
      </c>
      <c r="H820" s="17" t="s">
        <v>198</v>
      </c>
      <c r="I820" s="100" t="str">
        <f>IF(OR(F820=152,F820=162,F820=510),IF((OR(LEFT(RIGHT(E820,13),1)={"A","D","E","F","G","I","L","N","P","R","S","T","V"})),"Ф",""),"")</f>
        <v/>
      </c>
    </row>
    <row r="821" spans="1:9" x14ac:dyDescent="0.3">
      <c r="D821" s="48" t="str">
        <f>CONCATENATE(УЧРЕЖДЕНИЯ!$A$10)</f>
        <v>газета</v>
      </c>
      <c r="E821" s="99" t="s">
        <v>553</v>
      </c>
      <c r="F821" s="100">
        <v>213</v>
      </c>
      <c r="G821" s="100">
        <v>119</v>
      </c>
      <c r="H821" s="17" t="s">
        <v>198</v>
      </c>
      <c r="I821" s="100" t="str">
        <f>IF(OR(F821=152,F821=162,F821=510),IF((OR(LEFT(RIGHT(E821,13),1)={"A","D","E","F","G","I","L","N","P","R","S","T","V"})),"Ф",""),"")</f>
        <v/>
      </c>
    </row>
    <row r="822" spans="1:9" x14ac:dyDescent="0.3">
      <c r="D822" s="48" t="str">
        <f>CONCATENATE(УЧРЕЖДЕНИЯ!$A$10)</f>
        <v>газета</v>
      </c>
      <c r="E822" s="99" t="s">
        <v>554</v>
      </c>
      <c r="F822" s="100">
        <v>222</v>
      </c>
      <c r="G822" s="100">
        <v>244</v>
      </c>
      <c r="H822" s="17" t="s">
        <v>198</v>
      </c>
      <c r="I822" s="100" t="str">
        <f>IF(OR(F822=152,F822=162,F822=510),IF((OR(LEFT(RIGHT(E822,13),1)={"A","D","E","F","G","I","L","N","P","R","S","T","V"})),"Ф",""),"")</f>
        <v/>
      </c>
    </row>
    <row r="823" spans="1:9" x14ac:dyDescent="0.3">
      <c r="D823" s="48" t="str">
        <f>CONCATENATE(УЧРЕЖДЕНИЯ!$A$10)</f>
        <v>газета</v>
      </c>
      <c r="E823" s="99" t="s">
        <v>554</v>
      </c>
      <c r="F823" s="100">
        <v>226</v>
      </c>
      <c r="G823" s="100">
        <v>244</v>
      </c>
      <c r="H823" s="17" t="s">
        <v>198</v>
      </c>
      <c r="I823" s="100" t="str">
        <f>IF(OR(F823=152,F823=162,F823=510),IF((OR(LEFT(RIGHT(E823,13),1)={"A","D","E","F","G","I","L","N","P","R","S","T","V"})),"Ф",""),"")</f>
        <v/>
      </c>
    </row>
    <row r="824" spans="1:9" x14ac:dyDescent="0.3">
      <c r="D824" s="48" t="str">
        <f>CONCATENATE(УЧРЕЖДЕНИЯ!$A$10)</f>
        <v>газета</v>
      </c>
      <c r="E824" s="99" t="s">
        <v>550</v>
      </c>
      <c r="F824" s="100">
        <v>510</v>
      </c>
      <c r="G824" s="100">
        <v>510</v>
      </c>
      <c r="H824" s="17" t="s">
        <v>198</v>
      </c>
      <c r="I824" s="100" t="str">
        <f>IF(OR(F824=152,F824=162,F824=510),IF((OR(LEFT(RIGHT(E824,13),1)={"A","D","E","F","G","I","L","N","P","R","S","T","V"})),"Ф",""),"")</f>
        <v/>
      </c>
    </row>
    <row r="825" spans="1:9" x14ac:dyDescent="0.3">
      <c r="D825" s="48" t="str">
        <f>CONCATENATE(УЧРЕЖДЕНИЯ!$A$10)</f>
        <v>газета</v>
      </c>
      <c r="E825" s="99" t="s">
        <v>707</v>
      </c>
      <c r="F825" s="100">
        <v>2232</v>
      </c>
      <c r="G825" s="100">
        <v>247</v>
      </c>
      <c r="H825" s="17" t="s">
        <v>198</v>
      </c>
      <c r="I825" s="100" t="str">
        <f>IF(OR(F825=152,F825=162,F825=510),IF((OR(LEFT(RIGHT(E825,13),1)={"A","D","E","F","G","I","L","N","P","R","S","T","V"})),"Ф",""),"")</f>
        <v/>
      </c>
    </row>
    <row r="826" spans="1:9" x14ac:dyDescent="0.3">
      <c r="A826" s="48">
        <f>ROW()</f>
        <v>826</v>
      </c>
      <c r="B826" s="48" t="s">
        <v>741</v>
      </c>
      <c r="I826" s="100" t="str">
        <f>IF(OR(F826=152,F826=162,F826=510),IF((OR(LEFT(RIGHT(E826,13),1)={"A","D","E","F","G","I","L","N","P","R","S","T","V"})),"Ф",""),"")</f>
        <v/>
      </c>
    </row>
    <row r="827" spans="1:9" x14ac:dyDescent="0.3">
      <c r="I827" s="100" t="str">
        <f>IF(OR(F827=152,F827=162,F827=510),IF((OR(LEFT(RIGHT(E827,13),1)={"A","D","E","F","G","I","L","N","P","R","S","T","V"})),"Ф",""),"")</f>
        <v/>
      </c>
    </row>
    <row r="828" spans="1:9" x14ac:dyDescent="0.3">
      <c r="A828" s="48">
        <f>ROW()</f>
        <v>828</v>
      </c>
      <c r="B828" s="48" t="s">
        <v>740</v>
      </c>
      <c r="C828" s="48" t="s">
        <v>736</v>
      </c>
      <c r="D828" s="48" t="str">
        <f>CONCATENATE(УЧРЕЖДЕНИЯ!$A$3)</f>
        <v>Детсад</v>
      </c>
      <c r="E828" s="99" t="s">
        <v>823</v>
      </c>
      <c r="F828" s="100">
        <v>510</v>
      </c>
      <c r="G828" s="100">
        <v>510</v>
      </c>
      <c r="H828" s="17" t="s">
        <v>190</v>
      </c>
      <c r="I828" s="100" t="str">
        <f>IF(OR(F828=152,F828=162,F828=510),IF((OR(LEFT(RIGHT(E828,13),1)={"A","D","E","F","G","I","L","N","P","R","S","T","V"})),"Ф",""),"")</f>
        <v/>
      </c>
    </row>
    <row r="829" spans="1:9" x14ac:dyDescent="0.3">
      <c r="D829" s="48" t="str">
        <f>CONCATENATE(УЧРЕЖДЕНИЯ!$A$3)</f>
        <v>Детсад</v>
      </c>
      <c r="E829" s="99" t="s">
        <v>824</v>
      </c>
      <c r="F829" s="100">
        <v>152</v>
      </c>
      <c r="G829" s="100">
        <v>150</v>
      </c>
      <c r="H829" s="17" t="s">
        <v>190</v>
      </c>
      <c r="I829" s="100" t="str">
        <f>IF(OR(F829=152,F829=162,F829=510),IF((OR(LEFT(RIGHT(E829,13),1)={"A","D","E","F","G","I","L","N","P","R","S","T","V"})),"Ф",""),"")</f>
        <v/>
      </c>
    </row>
    <row r="830" spans="1:9" x14ac:dyDescent="0.3">
      <c r="D830" s="48" t="str">
        <f>CONCATENATE(УЧРЕЖДЕНИЯ!$A$3)</f>
        <v>Детсад</v>
      </c>
      <c r="E830" s="99" t="s">
        <v>825</v>
      </c>
      <c r="F830" s="100">
        <v>342</v>
      </c>
      <c r="G830" s="100">
        <v>244</v>
      </c>
      <c r="H830" s="17" t="s">
        <v>190</v>
      </c>
      <c r="I830" s="100" t="str">
        <f>IF(OR(F830=152,F830=162,F830=510),IF((OR(LEFT(RIGHT(E830,13),1)={"A","D","E","F","G","I","L","N","P","R","S","T","V"})),"Ф",""),"")</f>
        <v/>
      </c>
    </row>
    <row r="831" spans="1:9" x14ac:dyDescent="0.3">
      <c r="D831" s="48" t="str">
        <f>CONCATENATE(УЧРЕЖДЕНИЯ!$A$3)</f>
        <v>Детсад</v>
      </c>
      <c r="E831" s="99" t="s">
        <v>825</v>
      </c>
      <c r="F831" s="100">
        <v>346</v>
      </c>
      <c r="G831" s="100">
        <v>244</v>
      </c>
      <c r="H831" s="17" t="s">
        <v>190</v>
      </c>
      <c r="I831" s="100" t="str">
        <f>IF(OR(F831=152,F831=162,F831=510),IF((OR(LEFT(RIGHT(E831,13),1)={"A","D","E","F","G","I","L","N","P","R","S","T","V"})),"Ф",""),"")</f>
        <v/>
      </c>
    </row>
    <row r="832" spans="1:9" x14ac:dyDescent="0.3">
      <c r="D832" s="48" t="str">
        <f>CONCATENATE(УЧРЕЖДЕНИЯ!$A$3)</f>
        <v>Детсад</v>
      </c>
      <c r="E832" s="99" t="s">
        <v>828</v>
      </c>
      <c r="F832" s="100">
        <v>510</v>
      </c>
      <c r="G832" s="100">
        <v>510</v>
      </c>
      <c r="H832" s="17" t="s">
        <v>190</v>
      </c>
      <c r="I832" s="100" t="str">
        <f>IF(OR(F832=152,F832=162,F832=510),IF((OR(LEFT(RIGHT(E832,13),1)={"A","D","E","F","G","I","L","N","P","R","S","T","V"})),"Ф",""),"")</f>
        <v/>
      </c>
    </row>
    <row r="833" spans="3:9" x14ac:dyDescent="0.3">
      <c r="D833" s="48" t="str">
        <f>CONCATENATE(УЧРЕЖДЕНИЯ!$A$3)</f>
        <v>Детсад</v>
      </c>
      <c r="E833" s="99" t="s">
        <v>766</v>
      </c>
      <c r="F833" s="100">
        <v>152</v>
      </c>
      <c r="G833" s="100">
        <v>150</v>
      </c>
      <c r="H833" s="17" t="s">
        <v>190</v>
      </c>
      <c r="I833" s="100" t="str">
        <f>IF(OR(F833=152,F833=162,F833=510),IF((OR(LEFT(RIGHT(E833,13),1)={"A","D","E","F","G","I","L","N","P","R","S","T","V"})),"Ф",""),"")</f>
        <v/>
      </c>
    </row>
    <row r="834" spans="3:9" x14ac:dyDescent="0.3">
      <c r="D834" s="48" t="str">
        <f>CONCATENATE(УЧРЕЖДЕНИЯ!$A$3)</f>
        <v>Детсад</v>
      </c>
      <c r="E834" s="99" t="s">
        <v>829</v>
      </c>
      <c r="F834" s="100">
        <v>226</v>
      </c>
      <c r="G834" s="100">
        <v>243</v>
      </c>
      <c r="H834" s="17" t="s">
        <v>190</v>
      </c>
      <c r="I834" s="100" t="str">
        <f>IF(OR(F834=152,F834=162,F834=510),IF((OR(LEFT(RIGHT(E834,13),1)={"A","D","E","F","G","I","L","N","P","R","S","T","V"})),"Ф",""),"")</f>
        <v/>
      </c>
    </row>
    <row r="835" spans="3:9" x14ac:dyDescent="0.3">
      <c r="D835" s="48" t="str">
        <f>CONCATENATE(УЧРЕЖДЕНИЯ!$A$3)</f>
        <v>Детсад</v>
      </c>
      <c r="E835" s="99" t="s">
        <v>768</v>
      </c>
      <c r="F835" s="100">
        <v>152</v>
      </c>
      <c r="G835" s="100">
        <v>150</v>
      </c>
      <c r="H835" s="17" t="s">
        <v>190</v>
      </c>
      <c r="I835" s="100" t="str">
        <f>IF(OR(F835=152,F835=162,F835=510),IF((OR(LEFT(RIGHT(E835,13),1)={"A","D","E","F","G","I","L","N","P","R","S","T","V"})),"Ф",""),"")</f>
        <v/>
      </c>
    </row>
    <row r="836" spans="3:9" x14ac:dyDescent="0.3">
      <c r="D836" s="48" t="str">
        <f>CONCATENATE(УЧРЕЖДЕНИЯ!$A$3)</f>
        <v>Детсад</v>
      </c>
      <c r="E836" s="99" t="s">
        <v>769</v>
      </c>
      <c r="F836" s="100">
        <v>225</v>
      </c>
      <c r="G836" s="100">
        <v>243</v>
      </c>
      <c r="H836" s="17" t="s">
        <v>190</v>
      </c>
      <c r="I836" s="100" t="str">
        <f>IF(OR(F836=152,F836=162,F836=510),IF((OR(LEFT(RIGHT(E836,13),1)={"A","D","E","F","G","I","L","N","P","R","S","T","V"})),"Ф",""),"")</f>
        <v/>
      </c>
    </row>
    <row r="837" spans="3:9" x14ac:dyDescent="0.3">
      <c r="C837" s="48" t="s">
        <v>737</v>
      </c>
      <c r="D837" s="48" t="str">
        <f>CONCATENATE(УЧРЕЖДЕНИЯ!$A$4)</f>
        <v>Школа</v>
      </c>
      <c r="E837" s="99" t="s">
        <v>759</v>
      </c>
      <c r="F837" s="100">
        <v>152</v>
      </c>
      <c r="G837" s="100">
        <v>150</v>
      </c>
      <c r="H837" s="17" t="s">
        <v>191</v>
      </c>
      <c r="I837" s="100" t="str">
        <f>IF(OR(F837=152,F837=162,F837=510),IF((OR(LEFT(RIGHT(E837,13),1)={"A","D","E","F","G","I","L","N","P","R","S","T","V"})),"Ф",""),"")</f>
        <v/>
      </c>
    </row>
    <row r="838" spans="3:9" x14ac:dyDescent="0.3">
      <c r="D838" s="48" t="str">
        <f>CONCATENATE(УЧРЕЖДЕНИЯ!$A$4)</f>
        <v>Школа</v>
      </c>
      <c r="E838" s="99" t="s">
        <v>760</v>
      </c>
      <c r="F838" s="100">
        <v>211</v>
      </c>
      <c r="G838" s="100">
        <v>111</v>
      </c>
      <c r="H838" s="17" t="s">
        <v>191</v>
      </c>
      <c r="I838" s="100" t="str">
        <f>IF(OR(F838=152,F838=162,F838=510),IF((OR(LEFT(RIGHT(E838,13),1)={"A","D","E","F","G","I","L","N","P","R","S","T","V"})),"Ф",""),"")</f>
        <v/>
      </c>
    </row>
    <row r="839" spans="3:9" x14ac:dyDescent="0.3">
      <c r="D839" s="48" t="str">
        <f>CONCATENATE(УЧРЕЖДЕНИЯ!$A$4)</f>
        <v>Школа</v>
      </c>
      <c r="E839" s="99" t="s">
        <v>761</v>
      </c>
      <c r="F839" s="100">
        <v>213</v>
      </c>
      <c r="G839" s="100">
        <v>119</v>
      </c>
      <c r="H839" s="17" t="s">
        <v>191</v>
      </c>
      <c r="I839" s="100" t="str">
        <f>IF(OR(F839=152,F839=162,F839=510),IF((OR(LEFT(RIGHT(E839,13),1)={"A","D","E","F","G","I","L","N","P","R","S","T","V"})),"Ф",""),"")</f>
        <v/>
      </c>
    </row>
    <row r="840" spans="3:9" x14ac:dyDescent="0.3">
      <c r="D840" s="48" t="str">
        <f>CONCATENATE(УЧРЕЖДЕНИЯ!$A$4)</f>
        <v>Школа</v>
      </c>
      <c r="E840" s="99" t="s">
        <v>830</v>
      </c>
      <c r="F840" s="100">
        <v>152</v>
      </c>
      <c r="G840" s="100">
        <v>150</v>
      </c>
      <c r="H840" s="17" t="s">
        <v>191</v>
      </c>
      <c r="I840" s="100" t="str">
        <f>IF(OR(F840=152,F840=162,F840=510),IF((OR(LEFT(RIGHT(E840,13),1)={"A","D","E","F","G","I","L","N","P","R","S","T","V"})),"Ф",""),"")</f>
        <v/>
      </c>
    </row>
    <row r="841" spans="3:9" x14ac:dyDescent="0.3">
      <c r="D841" s="48" t="str">
        <f>CONCATENATE(УЧРЕЖДЕНИЯ!$A$4)</f>
        <v>Школа</v>
      </c>
      <c r="E841" s="99" t="s">
        <v>831</v>
      </c>
      <c r="F841" s="100">
        <v>226</v>
      </c>
      <c r="G841" s="100">
        <v>244</v>
      </c>
      <c r="H841" s="17" t="s">
        <v>191</v>
      </c>
      <c r="I841" s="100" t="str">
        <f>IF(OR(F841=152,F841=162,F841=510),IF((OR(LEFT(RIGHT(E841,13),1)={"A","D","E","F","G","I","L","N","P","R","S","T","V"})),"Ф",""),"")</f>
        <v/>
      </c>
    </row>
    <row r="842" spans="3:9" x14ac:dyDescent="0.3">
      <c r="D842" s="48" t="str">
        <f>CONCATENATE(УЧРЕЖДЕНИЯ!$A$4)</f>
        <v>Школа</v>
      </c>
      <c r="E842" s="99" t="s">
        <v>831</v>
      </c>
      <c r="F842" s="100">
        <v>342</v>
      </c>
      <c r="G842" s="100">
        <v>244</v>
      </c>
      <c r="H842" s="17" t="s">
        <v>191</v>
      </c>
      <c r="I842" s="100" t="str">
        <f>IF(OR(F842=152,F842=162,F842=510),IF((OR(LEFT(RIGHT(E842,13),1)={"A","D","E","F","G","I","L","N","P","R","S","T","V"})),"Ф",""),"")</f>
        <v/>
      </c>
    </row>
    <row r="843" spans="3:9" x14ac:dyDescent="0.3">
      <c r="D843" s="48" t="str">
        <f>CONCATENATE(УЧРЕЖДЕНИЯ!$A$4)</f>
        <v>Школа</v>
      </c>
      <c r="E843" s="99" t="s">
        <v>832</v>
      </c>
      <c r="F843" s="100">
        <v>510</v>
      </c>
      <c r="G843" s="100">
        <v>510</v>
      </c>
      <c r="H843" s="17" t="s">
        <v>191</v>
      </c>
      <c r="I843" s="100" t="str">
        <f>IF(OR(F843=152,F843=162,F843=510),IF((OR(LEFT(RIGHT(E843,13),1)={"A","D","E","F","G","I","L","N","P","R","S","T","V"})),"Ф",""),"")</f>
        <v/>
      </c>
    </row>
    <row r="844" spans="3:9" x14ac:dyDescent="0.3">
      <c r="D844" s="48" t="str">
        <f>CONCATENATE(УЧРЕЖДЕНИЯ!$A$4)</f>
        <v>Школа</v>
      </c>
      <c r="E844" s="99" t="s">
        <v>762</v>
      </c>
      <c r="F844" s="100">
        <v>152</v>
      </c>
      <c r="G844" s="100">
        <v>150</v>
      </c>
      <c r="H844" s="17" t="s">
        <v>191</v>
      </c>
      <c r="I844" s="100" t="str">
        <f>IF(OR(F844=152,F844=162,F844=510),IF((OR(LEFT(RIGHT(E844,13),1)={"A","D","E","F","G","I","L","N","P","R","S","T","V"})),"Ф",""),"")</f>
        <v/>
      </c>
    </row>
    <row r="845" spans="3:9" x14ac:dyDescent="0.3">
      <c r="D845" s="48" t="str">
        <f>CONCATENATE(УЧРЕЖДЕНИЯ!$A$4)</f>
        <v>Школа</v>
      </c>
      <c r="E845" s="99" t="s">
        <v>763</v>
      </c>
      <c r="F845" s="100">
        <v>226</v>
      </c>
      <c r="G845" s="100">
        <v>244</v>
      </c>
      <c r="H845" s="17" t="s">
        <v>191</v>
      </c>
      <c r="I845" s="100" t="str">
        <f>IF(OR(F845=152,F845=162,F845=510),IF((OR(LEFT(RIGHT(E845,13),1)={"A","D","E","F","G","I","L","N","P","R","S","T","V"})),"Ф",""),"")</f>
        <v/>
      </c>
    </row>
    <row r="846" spans="3:9" x14ac:dyDescent="0.3">
      <c r="D846" s="48" t="str">
        <f>CONCATENATE(УЧРЕЖДЕНИЯ!$A$4)</f>
        <v>Школа</v>
      </c>
      <c r="E846" s="99" t="s">
        <v>763</v>
      </c>
      <c r="F846" s="100">
        <v>342</v>
      </c>
      <c r="G846" s="100">
        <v>244</v>
      </c>
      <c r="H846" s="17" t="s">
        <v>191</v>
      </c>
      <c r="I846" s="100" t="str">
        <f>IF(OR(F846=152,F846=162,F846=510),IF((OR(LEFT(RIGHT(E846,13),1)={"A","D","E","F","G","I","L","N","P","R","S","T","V"})),"Ф",""),"")</f>
        <v/>
      </c>
    </row>
    <row r="847" spans="3:9" x14ac:dyDescent="0.3">
      <c r="D847" s="48" t="str">
        <f>CONCATENATE(УЧРЕЖДЕНИЯ!$A$4)</f>
        <v>Школа</v>
      </c>
      <c r="E847" s="99" t="s">
        <v>764</v>
      </c>
      <c r="F847" s="100">
        <v>152</v>
      </c>
      <c r="G847" s="100">
        <v>150</v>
      </c>
      <c r="H847" s="17" t="s">
        <v>191</v>
      </c>
      <c r="I847" s="100" t="str">
        <f>IF(OR(F847=152,F847=162,F847=510),IF((OR(LEFT(RIGHT(E847,13),1)={"A","D","E","F","G","I","L","N","P","R","S","T","V"})),"Ф",""),"")</f>
        <v/>
      </c>
    </row>
    <row r="848" spans="3:9" x14ac:dyDescent="0.3">
      <c r="D848" s="48" t="str">
        <f>CONCATENATE(УЧРЕЖДЕНИЯ!$A$4)</f>
        <v>Школа</v>
      </c>
      <c r="E848" s="99" t="s">
        <v>833</v>
      </c>
      <c r="F848" s="100">
        <v>211</v>
      </c>
      <c r="G848" s="100">
        <v>111</v>
      </c>
      <c r="H848" s="17" t="s">
        <v>191</v>
      </c>
      <c r="I848" s="100" t="str">
        <f>IF(OR(F848=152,F848=162,F848=510),IF((OR(LEFT(RIGHT(E848,13),1)={"A","D","E","F","G","I","L","N","P","R","S","T","V"})),"Ф",""),"")</f>
        <v/>
      </c>
    </row>
    <row r="849" spans="4:9" x14ac:dyDescent="0.3">
      <c r="D849" s="48" t="str">
        <f>CONCATENATE(УЧРЕЖДЕНИЯ!$A$4)</f>
        <v>Школа</v>
      </c>
      <c r="E849" s="99" t="s">
        <v>834</v>
      </c>
      <c r="F849" s="100">
        <v>213</v>
      </c>
      <c r="G849" s="100">
        <v>119</v>
      </c>
      <c r="H849" s="17" t="s">
        <v>191</v>
      </c>
      <c r="I849" s="100" t="str">
        <f>IF(OR(F849=152,F849=162,F849=510),IF((OR(LEFT(RIGHT(E849,13),1)={"A","D","E","F","G","I","L","N","P","R","S","T","V"})),"Ф",""),"")</f>
        <v/>
      </c>
    </row>
    <row r="850" spans="4:9" x14ac:dyDescent="0.3">
      <c r="D850" s="48" t="str">
        <f>CONCATENATE(УЧРЕЖДЕНИЯ!$A$4)</f>
        <v>Школа</v>
      </c>
      <c r="E850" s="99" t="s">
        <v>765</v>
      </c>
      <c r="F850" s="100">
        <v>226</v>
      </c>
      <c r="G850" s="100">
        <v>244</v>
      </c>
      <c r="H850" s="17" t="s">
        <v>191</v>
      </c>
      <c r="I850" s="100" t="str">
        <f>IF(OR(F850=152,F850=162,F850=510),IF((OR(LEFT(RIGHT(E850,13),1)={"A","D","E","F","G","I","L","N","P","R","S","T","V"})),"Ф",""),"")</f>
        <v/>
      </c>
    </row>
    <row r="851" spans="4:9" x14ac:dyDescent="0.3">
      <c r="D851" s="48" t="str">
        <f>CONCATENATE(УЧРЕЖДЕНИЯ!$A$4)</f>
        <v>Школа</v>
      </c>
      <c r="E851" s="99" t="s">
        <v>766</v>
      </c>
      <c r="F851" s="100">
        <v>152</v>
      </c>
      <c r="G851" s="100">
        <v>150</v>
      </c>
      <c r="H851" s="17" t="s">
        <v>191</v>
      </c>
      <c r="I851" s="100" t="str">
        <f>IF(OR(F851=152,F851=162,F851=510),IF((OR(LEFT(RIGHT(E851,13),1)={"A","D","E","F","G","I","L","N","P","R","S","T","V"})),"Ф",""),"")</f>
        <v/>
      </c>
    </row>
    <row r="852" spans="4:9" x14ac:dyDescent="0.3">
      <c r="D852" s="48" t="str">
        <f>CONCATENATE(УЧРЕЖДЕНИЯ!$A$4)</f>
        <v>Школа</v>
      </c>
      <c r="E852" s="99" t="s">
        <v>767</v>
      </c>
      <c r="F852" s="100">
        <v>225</v>
      </c>
      <c r="G852" s="100">
        <v>244</v>
      </c>
      <c r="H852" s="17" t="s">
        <v>191</v>
      </c>
      <c r="I852" s="100" t="str">
        <f>IF(OR(F852=152,F852=162,F852=510),IF((OR(LEFT(RIGHT(E852,13),1)={"A","D","E","F","G","I","L","N","P","R","S","T","V"})),"Ф",""),"")</f>
        <v/>
      </c>
    </row>
    <row r="853" spans="4:9" x14ac:dyDescent="0.3">
      <c r="D853" s="48" t="str">
        <f>CONCATENATE(УЧРЕЖДЕНИЯ!$A$4)</f>
        <v>Школа</v>
      </c>
      <c r="E853" s="99" t="s">
        <v>767</v>
      </c>
      <c r="F853" s="100">
        <v>310</v>
      </c>
      <c r="G853" s="100">
        <v>244</v>
      </c>
      <c r="H853" s="17" t="s">
        <v>191</v>
      </c>
      <c r="I853" s="100" t="str">
        <f>IF(OR(F853=152,F853=162,F853=510),IF((OR(LEFT(RIGHT(E853,13),1)={"A","D","E","F","G","I","L","N","P","R","S","T","V"})),"Ф",""),"")</f>
        <v/>
      </c>
    </row>
    <row r="854" spans="4:9" x14ac:dyDescent="0.3">
      <c r="D854" s="48" t="str">
        <f>CONCATENATE(УЧРЕЖДЕНИЯ!$A$4)</f>
        <v>Школа</v>
      </c>
      <c r="E854" s="99" t="s">
        <v>767</v>
      </c>
      <c r="F854" s="100">
        <v>346</v>
      </c>
      <c r="G854" s="100">
        <v>244</v>
      </c>
      <c r="H854" s="17" t="s">
        <v>191</v>
      </c>
      <c r="I854" s="100" t="str">
        <f>IF(OR(F854=152,F854=162,F854=510),IF((OR(LEFT(RIGHT(E854,13),1)={"A","D","E","F","G","I","L","N","P","R","S","T","V"})),"Ф",""),"")</f>
        <v/>
      </c>
    </row>
    <row r="855" spans="4:9" x14ac:dyDescent="0.3">
      <c r="D855" s="48" t="str">
        <f>CONCATENATE(УЧРЕЖДЕНИЯ!$A$4)</f>
        <v>Школа</v>
      </c>
      <c r="E855" s="99" t="s">
        <v>768</v>
      </c>
      <c r="F855" s="100">
        <v>152</v>
      </c>
      <c r="G855" s="100">
        <v>150</v>
      </c>
      <c r="H855" s="17" t="s">
        <v>191</v>
      </c>
      <c r="I855" s="100" t="str">
        <f>IF(OR(F855=152,F855=162,F855=510),IF((OR(LEFT(RIGHT(E855,13),1)={"A","D","E","F","G","I","L","N","P","R","S","T","V"})),"Ф",""),"")</f>
        <v/>
      </c>
    </row>
    <row r="856" spans="4:9" x14ac:dyDescent="0.3">
      <c r="D856" s="48" t="str">
        <f>CONCATENATE(УЧРЕЖДЕНИЯ!$A$4)</f>
        <v>Школа</v>
      </c>
      <c r="E856" s="99" t="s">
        <v>769</v>
      </c>
      <c r="F856" s="100">
        <v>225</v>
      </c>
      <c r="G856" s="100">
        <v>243</v>
      </c>
      <c r="H856" s="17" t="s">
        <v>191</v>
      </c>
      <c r="I856" s="100" t="str">
        <f>IF(OR(F856=152,F856=162,F856=510),IF((OR(LEFT(RIGHT(E856,13),1)={"A","D","E","F","G","I","L","N","P","R","S","T","V"})),"Ф",""),"")</f>
        <v/>
      </c>
    </row>
    <row r="857" spans="4:9" x14ac:dyDescent="0.3">
      <c r="D857" s="48" t="str">
        <f>CONCATENATE(УЧРЕЖДЕНИЯ!$A$4)</f>
        <v>Школа</v>
      </c>
      <c r="E857" s="99" t="s">
        <v>826</v>
      </c>
      <c r="F857" s="100">
        <v>510</v>
      </c>
      <c r="G857" s="100">
        <v>510</v>
      </c>
      <c r="H857" s="17" t="s">
        <v>191</v>
      </c>
      <c r="I857" s="100" t="str">
        <f>IF(OR(F857=152,F857=162,F857=510),IF((OR(LEFT(RIGHT(E857,13),1)={"A","D","E","F","G","I","L","N","P","R","S","T","V"})),"Ф",""),"")</f>
        <v>Ф</v>
      </c>
    </row>
    <row r="858" spans="4:9" x14ac:dyDescent="0.3">
      <c r="D858" s="48" t="str">
        <f>CONCATENATE(УЧРЕЖДЕНИЯ!$A$4)</f>
        <v>Школа</v>
      </c>
      <c r="E858" s="99" t="s">
        <v>827</v>
      </c>
      <c r="F858" s="100">
        <v>226</v>
      </c>
      <c r="G858" s="100">
        <v>244</v>
      </c>
      <c r="H858" s="17" t="s">
        <v>191</v>
      </c>
      <c r="I858" s="100" t="str">
        <f>IF(OR(F858=152,F858=162,F858=510),IF((OR(LEFT(RIGHT(E858,13),1)={"A","D","E","F","G","I","L","N","P","R","S","T","V"})),"Ф",""),"")</f>
        <v/>
      </c>
    </row>
    <row r="859" spans="4:9" x14ac:dyDescent="0.3">
      <c r="D859" s="48" t="str">
        <f>CONCATENATE(УЧРЕЖДЕНИЯ!$A$4)</f>
        <v>Школа</v>
      </c>
      <c r="E859" s="99" t="s">
        <v>827</v>
      </c>
      <c r="F859" s="100">
        <v>346</v>
      </c>
      <c r="G859" s="100">
        <v>244</v>
      </c>
      <c r="H859" s="17" t="s">
        <v>191</v>
      </c>
      <c r="I859" s="100" t="str">
        <f>IF(OR(F859=152,F859=162,F859=510),IF((OR(LEFT(RIGHT(E859,13),1)={"A","D","E","F","G","I","L","N","P","R","S","T","V"})),"Ф",""),"")</f>
        <v/>
      </c>
    </row>
    <row r="860" spans="4:9" x14ac:dyDescent="0.3">
      <c r="D860" s="48" t="str">
        <f>CONCATENATE(УЧРЕЖДЕНИЯ!$A$4)</f>
        <v>Школа</v>
      </c>
      <c r="E860" s="99" t="s">
        <v>848</v>
      </c>
      <c r="F860" s="100">
        <v>152</v>
      </c>
      <c r="G860" s="100">
        <v>150</v>
      </c>
      <c r="H860" s="17" t="s">
        <v>191</v>
      </c>
      <c r="I860" s="100" t="str">
        <f>IF(OR(F860=152,F860=162,F860=510),IF((OR(LEFT(RIGHT(E860,13),1)={"A","D","E","F","G","I","L","N","P","R","S","T","V"})),"Ф",""),"")</f>
        <v>Ф</v>
      </c>
    </row>
    <row r="861" spans="4:9" x14ac:dyDescent="0.3">
      <c r="D861" s="48" t="str">
        <f>CONCATENATE(УЧРЕЖДЕНИЯ!$A$4)</f>
        <v>Школа</v>
      </c>
      <c r="E861" s="99" t="s">
        <v>849</v>
      </c>
      <c r="F861" s="100">
        <v>211</v>
      </c>
      <c r="G861" s="100">
        <v>111</v>
      </c>
      <c r="H861" s="17" t="s">
        <v>191</v>
      </c>
      <c r="I861" s="100" t="str">
        <f>IF(OR(F861=152,F861=162,F861=510),IF((OR(LEFT(RIGHT(E861,13),1)={"A","D","E","F","G","I","L","N","P","R","S","T","V"})),"Ф",""),"")</f>
        <v/>
      </c>
    </row>
    <row r="862" spans="4:9" x14ac:dyDescent="0.3">
      <c r="D862" s="48" t="str">
        <f>CONCATENATE(УЧРЕЖДЕНИЯ!$A$4)</f>
        <v>Школа</v>
      </c>
      <c r="E862" s="99" t="s">
        <v>850</v>
      </c>
      <c r="F862" s="100">
        <v>213</v>
      </c>
      <c r="G862" s="100">
        <v>119</v>
      </c>
      <c r="H862" s="17" t="s">
        <v>191</v>
      </c>
      <c r="I862" s="100" t="str">
        <f>IF(OR(F862=152,F862=162,F862=510),IF((OR(LEFT(RIGHT(E862,13),1)={"A","D","E","F","G","I","L","N","P","R","S","T","V"})),"Ф",""),"")</f>
        <v/>
      </c>
    </row>
    <row r="863" spans="4:9" x14ac:dyDescent="0.3">
      <c r="D863" s="48" t="str">
        <f>CONCATENATE(УЧРЕЖДЕНИЯ!$A$4)</f>
        <v>Школа</v>
      </c>
      <c r="E863" s="99" t="s">
        <v>855</v>
      </c>
      <c r="F863" s="100">
        <v>225</v>
      </c>
      <c r="G863" s="100">
        <v>244</v>
      </c>
      <c r="H863" s="17" t="s">
        <v>191</v>
      </c>
      <c r="I863" s="100" t="str">
        <f>IF(OR(F863=152,F863=162,F863=510),IF((OR(LEFT(RIGHT(E863,13),1)={"A","D","E","F","G","I","L","N","P","R","S","T","V"})),"Ф",""),"")</f>
        <v/>
      </c>
    </row>
    <row r="864" spans="4:9" x14ac:dyDescent="0.3">
      <c r="D864" s="48" t="str">
        <f>CONCATENATE(УЧРЕЖДЕНИЯ!$A$4)</f>
        <v>Школа</v>
      </c>
      <c r="E864" s="99" t="s">
        <v>855</v>
      </c>
      <c r="F864" s="100">
        <v>226</v>
      </c>
      <c r="G864" s="100">
        <v>244</v>
      </c>
      <c r="H864" s="17" t="s">
        <v>191</v>
      </c>
      <c r="I864" s="100" t="str">
        <f>IF(OR(F864=152,F864=162,F864=510),IF((OR(LEFT(RIGHT(E864,13),1)={"A","D","E","F","G","I","L","N","P","R","S","T","V"})),"Ф",""),"")</f>
        <v/>
      </c>
    </row>
    <row r="865" spans="3:9" x14ac:dyDescent="0.3">
      <c r="D865" s="48" t="str">
        <f>CONCATENATE(УЧРЕЖДЕНИЯ!$A$4)</f>
        <v>Школа</v>
      </c>
      <c r="E865" s="99" t="s">
        <v>855</v>
      </c>
      <c r="F865" s="100">
        <v>310</v>
      </c>
      <c r="G865" s="100">
        <v>244</v>
      </c>
      <c r="H865" s="17" t="s">
        <v>191</v>
      </c>
      <c r="I865" s="100" t="str">
        <f>IF(OR(F865=152,F865=162,F865=510),IF((OR(LEFT(RIGHT(E865,13),1)={"A","D","E","F","G","I","L","N","P","R","S","T","V"})),"Ф",""),"")</f>
        <v/>
      </c>
    </row>
    <row r="866" spans="3:9" x14ac:dyDescent="0.3">
      <c r="D866" s="48" t="str">
        <f>CONCATENATE(УЧРЕЖДЕНИЯ!$A$4)</f>
        <v>Школа</v>
      </c>
      <c r="E866" s="99" t="s">
        <v>855</v>
      </c>
      <c r="F866" s="100">
        <v>346</v>
      </c>
      <c r="G866" s="100">
        <v>244</v>
      </c>
      <c r="H866" s="17" t="s">
        <v>191</v>
      </c>
      <c r="I866" s="100" t="str">
        <f>IF(OR(F866=152,F866=162,F866=510),IF((OR(LEFT(RIGHT(E866,13),1)={"A","D","E","F","G","I","L","N","P","R","S","T","V"})),"Ф",""),"")</f>
        <v/>
      </c>
    </row>
    <row r="867" spans="3:9" x14ac:dyDescent="0.3">
      <c r="C867" s="48" t="s">
        <v>203</v>
      </c>
      <c r="D867" s="48" t="str">
        <f>CONCATENATE(УЧРЕЖДЕНИЯ!$A$7)</f>
        <v>МХШ</v>
      </c>
      <c r="E867" s="99" t="s">
        <v>756</v>
      </c>
      <c r="F867" s="100">
        <v>152</v>
      </c>
      <c r="G867" s="100">
        <v>150</v>
      </c>
      <c r="H867" s="17" t="s">
        <v>755</v>
      </c>
      <c r="I867" s="100" t="str">
        <f>IF(OR(F867=152,F867=162,F867=510),IF((OR(LEFT(RIGHT(E867,13),1)={"A","D","E","F","G","I","L","N","P","R","S","T","V"})),"Ф",""),"")</f>
        <v/>
      </c>
    </row>
    <row r="868" spans="3:9" x14ac:dyDescent="0.3">
      <c r="D868" s="48" t="str">
        <f>CONCATENATE(УЧРЕЖДЕНИЯ!$A$7)</f>
        <v>МХШ</v>
      </c>
      <c r="E868" s="99" t="s">
        <v>757</v>
      </c>
      <c r="F868" s="100">
        <v>226</v>
      </c>
      <c r="G868" s="100">
        <v>244</v>
      </c>
      <c r="H868" s="17" t="s">
        <v>755</v>
      </c>
      <c r="I868" s="100" t="str">
        <f>IF(OR(F868=152,F868=162,F868=510),IF((OR(LEFT(RIGHT(E868,13),1)={"A","D","E","F","G","I","L","N","P","R","S","T","V"})),"Ф",""),"")</f>
        <v/>
      </c>
    </row>
    <row r="869" spans="3:9" x14ac:dyDescent="0.3">
      <c r="D869" s="48" t="str">
        <f>CONCATENATE(УЧРЕЖДЕНИЯ!$A$7)</f>
        <v>МХШ</v>
      </c>
      <c r="E869" s="99" t="s">
        <v>757</v>
      </c>
      <c r="F869" s="100">
        <v>227</v>
      </c>
      <c r="G869" s="100">
        <v>244</v>
      </c>
      <c r="H869" s="17" t="s">
        <v>755</v>
      </c>
      <c r="I869" s="100" t="str">
        <f>IF(OR(F869=152,F869=162,F869=510),IF((OR(LEFT(RIGHT(E869,13),1)={"A","D","E","F","G","I","L","N","P","R","S","T","V"})),"Ф",""),"")</f>
        <v/>
      </c>
    </row>
    <row r="870" spans="3:9" x14ac:dyDescent="0.3">
      <c r="D870" s="48" t="str">
        <f>CONCATENATE(УЧРЕЖДЕНИЯ!$A$7)</f>
        <v>МХШ</v>
      </c>
      <c r="E870" s="99" t="s">
        <v>757</v>
      </c>
      <c r="F870" s="100">
        <v>341</v>
      </c>
      <c r="G870" s="100">
        <v>244</v>
      </c>
      <c r="H870" s="17" t="s">
        <v>755</v>
      </c>
      <c r="I870" s="100" t="str">
        <f>IF(OR(F870=152,F870=162,F870=510),IF((OR(LEFT(RIGHT(E870,13),1)={"A","D","E","F","G","I","L","N","P","R","S","T","V"})),"Ф",""),"")</f>
        <v/>
      </c>
    </row>
    <row r="871" spans="3:9" x14ac:dyDescent="0.3">
      <c r="D871" s="48" t="str">
        <f>CONCATENATE(УЧРЕЖДЕНИЯ!$A$7)</f>
        <v>МХШ</v>
      </c>
      <c r="E871" s="99" t="s">
        <v>757</v>
      </c>
      <c r="F871" s="100">
        <v>346</v>
      </c>
      <c r="G871" s="100">
        <v>244</v>
      </c>
      <c r="H871" s="17" t="s">
        <v>755</v>
      </c>
      <c r="I871" s="100" t="str">
        <f>IF(OR(F871=152,F871=162,F871=510),IF((OR(LEFT(RIGHT(E871,13),1)={"A","D","E","F","G","I","L","N","P","R","S","T","V"})),"Ф",""),"")</f>
        <v/>
      </c>
    </row>
    <row r="872" spans="3:9" x14ac:dyDescent="0.3">
      <c r="D872" s="48" t="str">
        <f>CONCATENATE(УЧРЕЖДЕНИЯ!$A$7)</f>
        <v>МХШ</v>
      </c>
      <c r="E872" s="99" t="s">
        <v>757</v>
      </c>
      <c r="F872" s="100">
        <v>349</v>
      </c>
      <c r="G872" s="100">
        <v>244</v>
      </c>
      <c r="H872" s="17" t="s">
        <v>755</v>
      </c>
      <c r="I872" s="100" t="str">
        <f>IF(OR(F872=152,F872=162,F872=510),IF((OR(LEFT(RIGHT(E872,13),1)={"A","D","E","F","G","I","L","N","P","R","S","T","V"})),"Ф",""),"")</f>
        <v/>
      </c>
    </row>
    <row r="873" spans="3:9" x14ac:dyDescent="0.3">
      <c r="D873" s="48" t="str">
        <f>CONCATENATE(УЧРЕЖДЕНИЯ!$A$8)</f>
        <v>ЦБС</v>
      </c>
      <c r="E873" s="99" t="s">
        <v>838</v>
      </c>
      <c r="F873" s="100">
        <v>152</v>
      </c>
      <c r="G873" s="100">
        <v>150</v>
      </c>
      <c r="H873" s="17" t="s">
        <v>196</v>
      </c>
      <c r="I873" s="100" t="str">
        <f>IF(OR(F873=152,F873=162,F873=510),IF((OR(LEFT(RIGHT(E873,13),1)={"A","D","E","F","G","I","L","N","P","R","S","T","V"})),"Ф",""),"")</f>
        <v/>
      </c>
    </row>
    <row r="874" spans="3:9" x14ac:dyDescent="0.3">
      <c r="D874" s="48" t="str">
        <f>CONCATENATE(УЧРЕЖДЕНИЯ!$A$8)</f>
        <v>ЦБС</v>
      </c>
      <c r="E874" s="99" t="s">
        <v>839</v>
      </c>
      <c r="F874" s="100">
        <v>310</v>
      </c>
      <c r="G874" s="100">
        <v>244</v>
      </c>
      <c r="H874" s="17" t="s">
        <v>196</v>
      </c>
      <c r="I874" s="100" t="str">
        <f>IF(OR(F874=152,F874=162,F874=510),IF((OR(LEFT(RIGHT(E874,13),1)={"A","D","E","F","G","I","L","N","P","R","S","T","V"})),"Ф",""),"")</f>
        <v/>
      </c>
    </row>
    <row r="875" spans="3:9" x14ac:dyDescent="0.3">
      <c r="D875" s="48" t="str">
        <f>CONCATENATE(УЧРЕЖДЕНИЯ!$A$11)</f>
        <v>культура</v>
      </c>
      <c r="E875" s="99" t="s">
        <v>749</v>
      </c>
      <c r="F875" s="100">
        <v>152</v>
      </c>
      <c r="G875" s="100">
        <v>150</v>
      </c>
      <c r="H875" s="17" t="s">
        <v>196</v>
      </c>
      <c r="I875" s="100" t="str">
        <f>IF(OR(F875=152,F875=162,F875=510),IF((OR(LEFT(RIGHT(E875,13),1)={"A","D","E","F","G","I","L","N","P","R","S","T","V"})),"Ф",""),"")</f>
        <v/>
      </c>
    </row>
    <row r="876" spans="3:9" x14ac:dyDescent="0.3">
      <c r="D876" s="48" t="str">
        <f>CONCATENATE(УЧРЕЖДЕНИЯ!$A$11)</f>
        <v>культура</v>
      </c>
      <c r="E876" s="99" t="s">
        <v>750</v>
      </c>
      <c r="F876" s="100">
        <v>310</v>
      </c>
      <c r="G876" s="100">
        <v>244</v>
      </c>
      <c r="H876" s="17" t="s">
        <v>196</v>
      </c>
      <c r="I876" s="100" t="str">
        <f>IF(OR(F876=152,F876=162,F876=510),IF((OR(LEFT(RIGHT(E876,13),1)={"A","D","E","F","G","I","L","N","P","R","S","T","V"})),"Ф",""),"")</f>
        <v/>
      </c>
    </row>
    <row r="877" spans="3:9" x14ac:dyDescent="0.3">
      <c r="D877" s="48" t="str">
        <f>CONCATENATE(УЧРЕЖДЕНИЯ!$A$11)</f>
        <v>культура</v>
      </c>
      <c r="E877" s="99" t="s">
        <v>747</v>
      </c>
      <c r="F877" s="100">
        <v>152</v>
      </c>
      <c r="G877" s="100">
        <v>150</v>
      </c>
      <c r="H877" s="17" t="s">
        <v>196</v>
      </c>
      <c r="I877" s="100" t="str">
        <f>IF(OR(F877=152,F877=162,F877=510),IF((OR(LEFT(RIGHT(E877,13),1)={"A","D","E","F","G","I","L","N","P","R","S","T","V"})),"Ф",""),"")</f>
        <v>Ф</v>
      </c>
    </row>
    <row r="878" spans="3:9" x14ac:dyDescent="0.3">
      <c r="D878" s="48" t="str">
        <f>CONCATENATE(УЧРЕЖДЕНИЯ!$A$11)</f>
        <v>культура</v>
      </c>
      <c r="E878" s="99" t="s">
        <v>748</v>
      </c>
      <c r="F878" s="100">
        <v>310</v>
      </c>
      <c r="G878" s="100">
        <v>407</v>
      </c>
      <c r="H878" s="17" t="s">
        <v>196</v>
      </c>
      <c r="I878" s="100" t="str">
        <f>IF(OR(F878=152,F878=162,F878=510),IF((OR(LEFT(RIGHT(E878,13),1)={"A","D","E","F","G","I","L","N","P","R","S","T","V"})),"Ф",""),"")</f>
        <v/>
      </c>
    </row>
    <row r="879" spans="3:9" x14ac:dyDescent="0.3">
      <c r="D879" s="48" t="str">
        <f>CONCATENATE(УЧРЕЖДЕНИЯ!$A$11)</f>
        <v>культура</v>
      </c>
      <c r="E879" s="99" t="s">
        <v>751</v>
      </c>
      <c r="F879" s="100">
        <v>152</v>
      </c>
      <c r="G879" s="100">
        <v>150</v>
      </c>
      <c r="H879" s="17" t="s">
        <v>196</v>
      </c>
      <c r="I879" s="100" t="str">
        <f>IF(OR(F879=152,F879=162,F879=510),IF((OR(LEFT(RIGHT(E879,13),1)={"A","D","E","F","G","I","L","N","P","R","S","T","V"})),"Ф",""),"")</f>
        <v/>
      </c>
    </row>
    <row r="880" spans="3:9" x14ac:dyDescent="0.3">
      <c r="D880" s="48" t="str">
        <f>CONCATENATE(УЧРЕЖДЕНИЯ!$A$11)</f>
        <v>культура</v>
      </c>
      <c r="E880" s="99" t="s">
        <v>752</v>
      </c>
      <c r="F880" s="100">
        <v>346</v>
      </c>
      <c r="G880" s="100">
        <v>244</v>
      </c>
      <c r="H880" s="17" t="s">
        <v>196</v>
      </c>
      <c r="I880" s="100" t="str">
        <f>IF(OR(F880=152,F880=162,F880=510),IF((OR(LEFT(RIGHT(E880,13),1)={"A","D","E","F","G","I","L","N","P","R","S","T","V"})),"Ф",""),"")</f>
        <v/>
      </c>
    </row>
    <row r="881" spans="1:9" x14ac:dyDescent="0.3">
      <c r="D881" s="48" t="str">
        <f>CONCATENATE(УЧРЕЖДЕНИЯ!$A$11)</f>
        <v>культура</v>
      </c>
      <c r="E881" s="99" t="s">
        <v>752</v>
      </c>
      <c r="F881" s="100">
        <v>349</v>
      </c>
      <c r="G881" s="100">
        <v>244</v>
      </c>
      <c r="H881" s="17" t="s">
        <v>196</v>
      </c>
      <c r="I881" s="100" t="str">
        <f>IF(OR(F881=152,F881=162,F881=510),IF((OR(LEFT(RIGHT(E881,13),1)={"A","D","E","F","G","I","L","N","P","R","S","T","V"})),"Ф",""),"")</f>
        <v/>
      </c>
    </row>
    <row r="882" spans="1:9" x14ac:dyDescent="0.3">
      <c r="D882" s="48" t="str">
        <f>CONCATENATE(УЧРЕЖДЕНИЯ!$A$11)</f>
        <v>культура</v>
      </c>
      <c r="E882" s="99" t="s">
        <v>753</v>
      </c>
      <c r="F882" s="100">
        <v>162</v>
      </c>
      <c r="G882" s="100">
        <v>150</v>
      </c>
      <c r="H882" s="17" t="s">
        <v>196</v>
      </c>
      <c r="I882" s="100" t="str">
        <f>IF(OR(F882=152,F882=162,F882=510),IF((OR(LEFT(RIGHT(E882,13),1)={"A","D","E","F","G","I","L","N","P","R","S","T","V"})),"Ф",""),"")</f>
        <v/>
      </c>
    </row>
    <row r="883" spans="1:9" x14ac:dyDescent="0.3">
      <c r="D883" s="48" t="str">
        <f>CONCATENATE(УЧРЕЖДЕНИЯ!$A$11)</f>
        <v>культура</v>
      </c>
      <c r="E883" s="99" t="s">
        <v>754</v>
      </c>
      <c r="F883" s="100">
        <v>228</v>
      </c>
      <c r="G883" s="100">
        <v>407</v>
      </c>
      <c r="H883" s="17" t="s">
        <v>196</v>
      </c>
      <c r="I883" s="100" t="str">
        <f>IF(OR(F883=152,F883=162,F883=510),IF((OR(LEFT(RIGHT(E883,13),1)={"A","D","E","F","G","I","L","N","P","R","S","T","V"})),"Ф",""),"")</f>
        <v/>
      </c>
    </row>
    <row r="884" spans="1:9" x14ac:dyDescent="0.3">
      <c r="C884" s="48" t="s">
        <v>204</v>
      </c>
      <c r="D884" s="104" t="str">
        <f>CONCATENATE(УЧРЕЖДЕНИЯ!$A$12)</f>
        <v>спорт</v>
      </c>
      <c r="E884" s="49" t="s">
        <v>858</v>
      </c>
      <c r="F884" s="105">
        <v>152</v>
      </c>
      <c r="G884" s="105">
        <v>150</v>
      </c>
      <c r="H884" s="106" t="s">
        <v>193</v>
      </c>
      <c r="I884" s="100" t="str">
        <f>IF(OR(F884=152,F884=162,F884=510),IF((OR(LEFT(RIGHT(E884,13),1)={"A","D","E","F","G","I","L","N","P","R","S","T","V"})),"Ф",""),"")</f>
        <v/>
      </c>
    </row>
    <row r="885" spans="1:9" x14ac:dyDescent="0.3">
      <c r="D885" s="104" t="str">
        <f>CONCATENATE(УЧРЕЖДЕНИЯ!$A$12)</f>
        <v>спорт</v>
      </c>
      <c r="E885" s="49" t="s">
        <v>856</v>
      </c>
      <c r="F885" s="105">
        <v>226</v>
      </c>
      <c r="G885" s="105">
        <v>244</v>
      </c>
      <c r="H885" s="106" t="s">
        <v>193</v>
      </c>
      <c r="I885" s="105" t="str">
        <f>IF(OR(F885=152,F885=162,F885=510),IF((OR(LEFT(RIGHT(E885,13),1)={"A","D","E","F","G","I","L","N","P","R","S","T","V"})),"Ф",""),"")</f>
        <v/>
      </c>
    </row>
    <row r="886" spans="1:9" x14ac:dyDescent="0.3">
      <c r="D886" s="48" t="str">
        <f>CONCATENATE(УЧРЕЖДЕНИЯ!$A$12)</f>
        <v>спорт</v>
      </c>
      <c r="E886" s="99" t="s">
        <v>770</v>
      </c>
      <c r="F886" s="100">
        <v>510</v>
      </c>
      <c r="G886" s="100">
        <v>510</v>
      </c>
      <c r="H886" s="17" t="s">
        <v>195</v>
      </c>
      <c r="I886" s="100" t="str">
        <f>IF(OR(F886=152,F886=162,F886=510),IF((OR(LEFT(RIGHT(E886,13),1)={"A","D","E","F","G","I","L","N","P","R","S","T","V"})),"Ф",""),"")</f>
        <v>Ф</v>
      </c>
    </row>
    <row r="887" spans="1:9" x14ac:dyDescent="0.3">
      <c r="A887" s="103">
        <f>ROW()</f>
        <v>887</v>
      </c>
      <c r="B887" s="103"/>
      <c r="C887" s="103"/>
      <c r="D887" s="103" t="str">
        <f>CONCATENATE(УЧРЕЖДЕНИЯ!$A$12)</f>
        <v>спорт</v>
      </c>
      <c r="E887" s="212" t="s">
        <v>666</v>
      </c>
      <c r="F887" s="213">
        <v>226</v>
      </c>
      <c r="G887" s="213">
        <v>244</v>
      </c>
      <c r="H887" s="214" t="s">
        <v>195</v>
      </c>
      <c r="I887" s="213" t="str">
        <f>IF(OR(F887=152,F887=162,F887=510),IF((OR(LEFT(RIGHT(E887,13),1)={"A","D","E","F","G","I","L","N","P","R","S","T","V"})),"Ф",""),"")</f>
        <v/>
      </c>
    </row>
    <row r="888" spans="1:9" x14ac:dyDescent="0.3">
      <c r="E888" s="48"/>
      <c r="F888" s="48"/>
      <c r="G888" s="48"/>
      <c r="H888" s="48"/>
    </row>
    <row r="889" spans="1:9" x14ac:dyDescent="0.3">
      <c r="E889" s="48"/>
      <c r="F889" s="48"/>
      <c r="G889" s="48"/>
      <c r="H889" s="48"/>
    </row>
    <row r="890" spans="1:9" x14ac:dyDescent="0.3">
      <c r="E890" s="48"/>
      <c r="F890" s="48"/>
      <c r="G890" s="48"/>
      <c r="H890" s="100"/>
    </row>
    <row r="891" spans="1:9" x14ac:dyDescent="0.3">
      <c r="D891" s="104"/>
      <c r="E891" s="104"/>
      <c r="F891" s="104"/>
      <c r="G891" s="104"/>
      <c r="H891" s="105"/>
    </row>
    <row r="892" spans="1:9" x14ac:dyDescent="0.3">
      <c r="E892" s="49"/>
    </row>
    <row r="893" spans="1:9" x14ac:dyDescent="0.3">
      <c r="E893" s="49"/>
    </row>
    <row r="894" spans="1:9" x14ac:dyDescent="0.3">
      <c r="E894" s="49"/>
    </row>
    <row r="895" spans="1:9" x14ac:dyDescent="0.3">
      <c r="E895" s="49"/>
    </row>
    <row r="896" spans="1:9" x14ac:dyDescent="0.3">
      <c r="E896" s="49"/>
    </row>
    <row r="897" spans="5:5" x14ac:dyDescent="0.3">
      <c r="E897" s="49"/>
    </row>
    <row r="898" spans="5:5" x14ac:dyDescent="0.3">
      <c r="E898" s="49"/>
    </row>
    <row r="899" spans="5:5" x14ac:dyDescent="0.3">
      <c r="E899" s="49"/>
    </row>
    <row r="900" spans="5:5" x14ac:dyDescent="0.3">
      <c r="E900" s="49"/>
    </row>
    <row r="901" spans="5:5" x14ac:dyDescent="0.3">
      <c r="E901" s="49"/>
    </row>
    <row r="902" spans="5:5" x14ac:dyDescent="0.3">
      <c r="E902" s="49"/>
    </row>
    <row r="903" spans="5:5" x14ac:dyDescent="0.3">
      <c r="E903" s="49"/>
    </row>
    <row r="904" spans="5:5" x14ac:dyDescent="0.3">
      <c r="E904" s="49"/>
    </row>
    <row r="905" spans="5:5" x14ac:dyDescent="0.3">
      <c r="E905" s="49"/>
    </row>
    <row r="906" spans="5:5" x14ac:dyDescent="0.3">
      <c r="E906" s="49"/>
    </row>
    <row r="907" spans="5:5" x14ac:dyDescent="0.3">
      <c r="E907" s="49"/>
    </row>
    <row r="908" spans="5:5" x14ac:dyDescent="0.3">
      <c r="E908" s="49"/>
    </row>
    <row r="909" spans="5:5" x14ac:dyDescent="0.3">
      <c r="E909" s="49"/>
    </row>
    <row r="910" spans="5:5" x14ac:dyDescent="0.3">
      <c r="E910" s="49"/>
    </row>
    <row r="911" spans="5:5" x14ac:dyDescent="0.3">
      <c r="E911" s="49"/>
    </row>
    <row r="912" spans="5:5" x14ac:dyDescent="0.3">
      <c r="E912" s="49"/>
    </row>
    <row r="913" spans="5:5" x14ac:dyDescent="0.3">
      <c r="E913" s="49"/>
    </row>
    <row r="914" spans="5:5" x14ac:dyDescent="0.3">
      <c r="E914" s="49"/>
    </row>
    <row r="915" spans="5:5" x14ac:dyDescent="0.3">
      <c r="E915" s="49"/>
    </row>
    <row r="916" spans="5:5" x14ac:dyDescent="0.3">
      <c r="E916" s="49"/>
    </row>
    <row r="917" spans="5:5" x14ac:dyDescent="0.3">
      <c r="E917" s="49"/>
    </row>
    <row r="918" spans="5:5" x14ac:dyDescent="0.3">
      <c r="E918" s="49"/>
    </row>
    <row r="919" spans="5:5" x14ac:dyDescent="0.3">
      <c r="E919" s="49"/>
    </row>
    <row r="920" spans="5:5" x14ac:dyDescent="0.3">
      <c r="E920" s="49"/>
    </row>
    <row r="921" spans="5:5" x14ac:dyDescent="0.3">
      <c r="E921" s="49"/>
    </row>
    <row r="922" spans="5:5" x14ac:dyDescent="0.3">
      <c r="E922" s="49"/>
    </row>
    <row r="923" spans="5:5" x14ac:dyDescent="0.3">
      <c r="E923" s="49"/>
    </row>
    <row r="939" spans="5:9" s="104" customFormat="1" x14ac:dyDescent="0.3">
      <c r="E939" s="49"/>
      <c r="F939" s="105"/>
      <c r="G939" s="105"/>
      <c r="H939" s="106"/>
      <c r="I939" s="105"/>
    </row>
    <row r="952" spans="4:8" x14ac:dyDescent="0.3">
      <c r="D952" s="104"/>
      <c r="E952" s="49"/>
      <c r="F952" s="105"/>
      <c r="G952" s="105"/>
      <c r="H952" s="106"/>
    </row>
    <row r="1002" spans="4:9" s="104" customFormat="1" x14ac:dyDescent="0.3">
      <c r="D1002" s="48"/>
      <c r="E1002" s="99"/>
      <c r="F1002" s="100"/>
      <c r="G1002" s="100"/>
      <c r="H1002" s="17"/>
      <c r="I1002" s="105"/>
    </row>
    <row r="1004" spans="4:9" s="104" customFormat="1" x14ac:dyDescent="0.3">
      <c r="D1004" s="48"/>
      <c r="E1004" s="99"/>
      <c r="F1004" s="100"/>
      <c r="G1004" s="100"/>
      <c r="H1004" s="17"/>
      <c r="I1004" s="105"/>
    </row>
    <row r="1005" spans="4:9" s="104" customFormat="1" x14ac:dyDescent="0.3">
      <c r="D1005" s="48"/>
      <c r="E1005" s="99"/>
      <c r="F1005" s="100"/>
      <c r="G1005" s="100"/>
      <c r="H1005" s="17"/>
      <c r="I1005" s="105"/>
    </row>
  </sheetData>
  <sheetProtection password="E80F" sheet="1" objects="1" scenarios="1" formatCells="0" formatColumns="0" formatRows="0" insertColumns="0" insertRows="0" insertHyperlinks="0" deleteColumns="0" deleteRows="0" sort="0" autoFilter="0" pivotTables="0"/>
  <mergeCells count="1">
    <mergeCell ref="I2:I3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tabColor rgb="FFFF0000"/>
  </sheetPr>
  <dimension ref="A1:J94"/>
  <sheetViews>
    <sheetView topLeftCell="A67" zoomScaleNormal="100" workbookViewId="0">
      <selection activeCell="B94" sqref="B94"/>
    </sheetView>
  </sheetViews>
  <sheetFormatPr defaultRowHeight="14.4" x14ac:dyDescent="0.3"/>
  <cols>
    <col min="1" max="1" width="40" customWidth="1"/>
    <col min="2" max="2" width="11.109375" bestFit="1" customWidth="1"/>
    <col min="3" max="3" width="33.6640625" customWidth="1"/>
    <col min="5" max="5" width="11.44140625" customWidth="1"/>
    <col min="7" max="7" width="11.44140625" bestFit="1" customWidth="1"/>
  </cols>
  <sheetData>
    <row r="1" spans="1:8" x14ac:dyDescent="0.3">
      <c r="A1" s="489" t="s">
        <v>615</v>
      </c>
      <c r="B1" s="489"/>
      <c r="C1" s="489"/>
      <c r="D1" s="489"/>
      <c r="E1" s="489"/>
      <c r="F1" s="489"/>
      <c r="G1" s="490"/>
      <c r="H1" s="490"/>
    </row>
    <row r="2" spans="1:8" x14ac:dyDescent="0.3">
      <c r="A2" t="s">
        <v>205</v>
      </c>
    </row>
    <row r="3" spans="1:8" x14ac:dyDescent="0.3">
      <c r="A3" t="s">
        <v>145</v>
      </c>
      <c r="B3" t="s">
        <v>616</v>
      </c>
    </row>
    <row r="4" spans="1:8" x14ac:dyDescent="0.3">
      <c r="A4" t="s">
        <v>144</v>
      </c>
      <c r="B4" t="s">
        <v>617</v>
      </c>
    </row>
    <row r="5" spans="1:8" x14ac:dyDescent="0.3">
      <c r="A5" t="s">
        <v>618</v>
      </c>
      <c r="B5" s="86" t="s">
        <v>132</v>
      </c>
    </row>
    <row r="6" spans="1:8" x14ac:dyDescent="0.3">
      <c r="A6" t="s">
        <v>631</v>
      </c>
      <c r="B6" s="86" t="s">
        <v>630</v>
      </c>
    </row>
    <row r="7" spans="1:8" x14ac:dyDescent="0.3">
      <c r="A7" t="s">
        <v>661</v>
      </c>
      <c r="B7" s="86" t="s">
        <v>662</v>
      </c>
      <c r="C7" t="s">
        <v>664</v>
      </c>
      <c r="D7" t="s">
        <v>681</v>
      </c>
      <c r="E7" t="s">
        <v>665</v>
      </c>
      <c r="F7" t="s">
        <v>663</v>
      </c>
    </row>
    <row r="8" spans="1:8" x14ac:dyDescent="0.3">
      <c r="B8" s="86"/>
    </row>
    <row r="10" spans="1:8" x14ac:dyDescent="0.3">
      <c r="A10" s="489" t="s">
        <v>636</v>
      </c>
      <c r="B10" s="489"/>
      <c r="C10" s="489"/>
      <c r="D10" s="489"/>
      <c r="E10" s="489"/>
      <c r="F10" s="489"/>
      <c r="G10" s="490"/>
      <c r="H10" s="490"/>
    </row>
    <row r="11" spans="1:8" x14ac:dyDescent="0.3">
      <c r="A11" t="s">
        <v>637</v>
      </c>
      <c r="B11" t="s">
        <v>638</v>
      </c>
    </row>
    <row r="13" spans="1:8" x14ac:dyDescent="0.3">
      <c r="A13" s="489" t="s">
        <v>606</v>
      </c>
      <c r="B13" s="489"/>
      <c r="C13" s="489"/>
      <c r="D13" s="489"/>
      <c r="E13" s="489"/>
      <c r="F13" s="489"/>
      <c r="G13" s="490"/>
      <c r="H13" s="490"/>
    </row>
    <row r="14" spans="1:8" x14ac:dyDescent="0.3">
      <c r="A14" t="s">
        <v>555</v>
      </c>
    </row>
    <row r="15" spans="1:8" x14ac:dyDescent="0.3">
      <c r="A15" t="s">
        <v>556</v>
      </c>
      <c r="C15" s="85" t="e">
        <f>IF(AND(F18+G18+H18+I18+K18+J18=0,F59+#REF!+G59+I59+K59+J59=0,OR(F18&lt;&gt;0,G18&lt;&gt;0,H18&lt;&gt;0,I18&lt;&gt;0,K18&lt;&gt;0,J18&lt;&gt;0)),"",IF(AND(E18&gt;0,E59&gt;0,E18+E421=E59),"","НЕ ЗАПОЛНЕНО"))</f>
        <v>#VALUE!</v>
      </c>
    </row>
    <row r="16" spans="1:8" x14ac:dyDescent="0.3">
      <c r="A16" s="50" t="s">
        <v>557</v>
      </c>
    </row>
    <row r="17" spans="1:3" x14ac:dyDescent="0.3">
      <c r="A17" s="50" t="s">
        <v>558</v>
      </c>
    </row>
    <row r="18" spans="1:3" x14ac:dyDescent="0.3">
      <c r="A18" s="50"/>
    </row>
    <row r="19" spans="1:3" x14ac:dyDescent="0.3">
      <c r="A19" s="50" t="s">
        <v>559</v>
      </c>
    </row>
    <row r="20" spans="1:3" x14ac:dyDescent="0.3">
      <c r="A20" s="50" t="s">
        <v>560</v>
      </c>
    </row>
    <row r="21" spans="1:3" x14ac:dyDescent="0.3">
      <c r="A21" s="50"/>
    </row>
    <row r="22" spans="1:3" x14ac:dyDescent="0.3">
      <c r="A22" s="50" t="s">
        <v>561</v>
      </c>
    </row>
    <row r="23" spans="1:3" x14ac:dyDescent="0.3">
      <c r="A23" s="50" t="s">
        <v>562</v>
      </c>
    </row>
    <row r="24" spans="1:3" x14ac:dyDescent="0.3">
      <c r="A24" s="50" t="s">
        <v>563</v>
      </c>
    </row>
    <row r="25" spans="1:3" x14ac:dyDescent="0.3">
      <c r="A25" s="50" t="s">
        <v>564</v>
      </c>
    </row>
    <row r="27" spans="1:3" x14ac:dyDescent="0.3">
      <c r="A27" s="50" t="s">
        <v>565</v>
      </c>
      <c r="C27" s="82" t="e">
        <f>IF(AND(G18+G32+K32=G74+K74,H18+H32+L32=H74+L74,I18+I32+M32=I74+M74,J18+J32=J74),"","НЕ ВЕРНО")</f>
        <v>#VALUE!</v>
      </c>
    </row>
    <row r="28" spans="1:3" x14ac:dyDescent="0.3">
      <c r="A28" s="50" t="s">
        <v>566</v>
      </c>
    </row>
    <row r="29" spans="1:3" x14ac:dyDescent="0.3">
      <c r="A29" s="50" t="s">
        <v>567</v>
      </c>
    </row>
    <row r="30" spans="1:3" x14ac:dyDescent="0.3">
      <c r="A30" s="50" t="s">
        <v>568</v>
      </c>
    </row>
    <row r="31" spans="1:3" x14ac:dyDescent="0.3">
      <c r="A31" s="50" t="s">
        <v>569</v>
      </c>
    </row>
    <row r="33" spans="1:8" x14ac:dyDescent="0.3">
      <c r="A33" s="50" t="s">
        <v>585</v>
      </c>
      <c r="C33" s="1" t="s">
        <v>588</v>
      </c>
    </row>
    <row r="34" spans="1:8" x14ac:dyDescent="0.3">
      <c r="A34" s="50" t="s">
        <v>586</v>
      </c>
    </row>
    <row r="35" spans="1:8" x14ac:dyDescent="0.3">
      <c r="A35" s="50" t="s">
        <v>587</v>
      </c>
    </row>
    <row r="37" spans="1:8" x14ac:dyDescent="0.3">
      <c r="A37" s="489" t="s">
        <v>619</v>
      </c>
      <c r="B37" s="489"/>
      <c r="C37" s="489"/>
      <c r="D37" s="489"/>
      <c r="E37" s="489"/>
      <c r="F37" s="489"/>
      <c r="G37" s="490"/>
      <c r="H37" s="490"/>
    </row>
    <row r="38" spans="1:8" x14ac:dyDescent="0.3">
      <c r="A38" t="s">
        <v>600</v>
      </c>
      <c r="B38" t="s">
        <v>304</v>
      </c>
      <c r="C38" t="s">
        <v>602</v>
      </c>
    </row>
    <row r="39" spans="1:8" x14ac:dyDescent="0.3">
      <c r="A39" t="s">
        <v>601</v>
      </c>
      <c r="B39">
        <v>150</v>
      </c>
      <c r="C39">
        <v>152</v>
      </c>
    </row>
    <row r="40" spans="1:8" x14ac:dyDescent="0.3">
      <c r="C40">
        <v>162</v>
      </c>
    </row>
    <row r="41" spans="1:8" x14ac:dyDescent="0.3">
      <c r="C41" t="s">
        <v>605</v>
      </c>
    </row>
    <row r="42" spans="1:8" x14ac:dyDescent="0.3">
      <c r="A42" s="80" t="s">
        <v>603</v>
      </c>
      <c r="B42" s="81" t="s">
        <v>599</v>
      </c>
      <c r="C42" s="80" t="s">
        <v>604</v>
      </c>
      <c r="D42">
        <f>ROW()</f>
        <v>42</v>
      </c>
      <c r="E42" t="s">
        <v>608</v>
      </c>
    </row>
    <row r="43" spans="1:8" x14ac:dyDescent="0.3">
      <c r="A43" s="84" t="e">
        <f t="array" ref="A43">LEFT(C43,MIN(IF(ISNUMBER(-MID(C43,ROW($18:$31),1)),ROW($18:$31)))-2)</f>
        <v>#VALUE!</v>
      </c>
      <c r="B43" s="80" t="str">
        <f t="array" aca="1" ref="B43" ca="1">IFERROR(MID(C43,MATCH(TRUE,ISNUMBER(MID(C43,ROW(INDIRECT("1:"&amp;LEN(C43))),1)*1),0),10),"")</f>
        <v/>
      </c>
      <c r="C43" s="83" t="str">
        <f t="array" ref="C43:C55">IFERROR(INDEX(КБК!E876:E887,SMALL(IF((($C$39=КБК!F878:F887)*($B$39=КБК!G878:G887)*(NOT(ISERR(SEARCH(ПОКАЗАТЕЛИ!$O$1,КБК!D878:D887))))),ROW(КБК!E876:E887)-КБК!A825,""),ROW()-$D$42)),"")</f>
        <v/>
      </c>
      <c r="E43" t="str">
        <f t="array" ref="E43:E55">IFERROR(INDEX(КБК!E876:E887,SMALL(IF(((OR(($C$39=КБК!F878:F887),($C$40=КБК!F878:F887)))*($B$39=КБК!G878:G887)*(NOT(ISERR(SEARCH(ПОКАЗАТЕЛИ!O1,КБК!D878:D887))))),ROW(КБК!E876:E887)-КБК!A825,""),ROW()-$D$42)),"")</f>
        <v/>
      </c>
    </row>
    <row r="44" spans="1:8" x14ac:dyDescent="0.3">
      <c r="A44" s="84" t="e">
        <f t="array" ref="A44">LEFT(C44,MIN(IF(ISNUMBER(-MID(C44,ROW($18:$31),1)),ROW($18:$31)))-2)</f>
        <v>#VALUE!</v>
      </c>
      <c r="B44" s="80" t="str">
        <f t="array" aca="1" ref="B44" ca="1">IFERROR(MID(C44,MATCH(TRUE,ISNUMBER(MID(C44,ROW(INDIRECT("1:"&amp;LEN(C44))),1)*1),0),10),"")</f>
        <v/>
      </c>
      <c r="C44" s="84" t="str">
        <v/>
      </c>
      <c r="E44" t="str">
        <v/>
      </c>
    </row>
    <row r="45" spans="1:8" x14ac:dyDescent="0.3">
      <c r="A45" s="84" t="e">
        <f t="array" ref="A45">LEFT(C45,MIN(IF(ISNUMBER(-MID(C45,ROW($18:$31),1)),ROW($18:$31)))-2)</f>
        <v>#VALUE!</v>
      </c>
      <c r="B45" s="80" t="str">
        <f t="array" aca="1" ref="B45" ca="1">IFERROR(MID(C45,MATCH(TRUE,ISNUMBER(MID(C45,ROW(INDIRECT("1:"&amp;LEN(C45))),1)*1),0),10),"")</f>
        <v/>
      </c>
      <c r="C45" s="84" t="str">
        <v/>
      </c>
      <c r="E45" t="str">
        <v/>
      </c>
    </row>
    <row r="46" spans="1:8" x14ac:dyDescent="0.3">
      <c r="A46" s="84" t="e">
        <f t="array" ref="A46">LEFT(C46,MIN(IF(ISNUMBER(-MID(C46,ROW($18:$31),1)),ROW($18:$31)))-2)</f>
        <v>#VALUE!</v>
      </c>
      <c r="B46" s="80" t="str">
        <f t="array" aca="1" ref="B46" ca="1">IFERROR(MID(C46,MATCH(TRUE,ISNUMBER(MID(C46,ROW(INDIRECT("1:"&amp;LEN(C46))),1)*1),0),10),"")</f>
        <v/>
      </c>
      <c r="C46" s="84" t="str">
        <v/>
      </c>
      <c r="E46" t="str">
        <v/>
      </c>
    </row>
    <row r="47" spans="1:8" x14ac:dyDescent="0.3">
      <c r="A47" s="84" t="e">
        <f t="array" ref="A47">LEFT(C47,MIN(IF(ISNUMBER(-MID(C47,ROW($18:$31),1)),ROW($18:$31)))-2)</f>
        <v>#VALUE!</v>
      </c>
      <c r="B47" s="80" t="str">
        <f t="array" aca="1" ref="B47" ca="1">IFERROR(MID(C47,MATCH(TRUE,ISNUMBER(MID(C47,ROW(INDIRECT("1:"&amp;LEN(C47))),1)*1),0),10),"")</f>
        <v/>
      </c>
      <c r="C47" s="84" t="str">
        <v/>
      </c>
      <c r="E47" t="str">
        <v/>
      </c>
    </row>
    <row r="48" spans="1:8" x14ac:dyDescent="0.3">
      <c r="A48" s="84" t="e">
        <f t="array" ref="A48">LEFT(C48,MIN(IF(ISNUMBER(-MID(C48,ROW($18:$31),1)),ROW($18:$31)))-2)</f>
        <v>#VALUE!</v>
      </c>
      <c r="B48" s="80" t="str">
        <f t="array" aca="1" ref="B48" ca="1">IFERROR(MID(C48,MATCH(TRUE,ISNUMBER(MID(C48,ROW(INDIRECT("1:"&amp;LEN(C48))),1)*1),0),10),"")</f>
        <v/>
      </c>
      <c r="C48" s="84" t="str">
        <v/>
      </c>
      <c r="E48" t="str">
        <v/>
      </c>
    </row>
    <row r="49" spans="1:10" x14ac:dyDescent="0.3">
      <c r="A49" s="84" t="e">
        <f t="array" ref="A49">LEFT(C49,MIN(IF(ISNUMBER(-MID(C49,ROW($18:$31),1)),ROW($18:$31)))-2)</f>
        <v>#VALUE!</v>
      </c>
      <c r="B49" s="80" t="str">
        <f t="array" aca="1" ref="B49" ca="1">IFERROR(MID(C49,MATCH(TRUE,ISNUMBER(MID(C49,ROW(INDIRECT("1:"&amp;LEN(C49))),1)*1),0),10),"")</f>
        <v/>
      </c>
      <c r="C49" s="84" t="str">
        <v/>
      </c>
      <c r="E49" t="str">
        <v/>
      </c>
    </row>
    <row r="50" spans="1:10" x14ac:dyDescent="0.3">
      <c r="A50" s="84" t="e">
        <f t="array" ref="A50">LEFT(C50,MIN(IF(ISNUMBER(-MID(C50,ROW($18:$31),1)),ROW($18:$31)))-2)</f>
        <v>#VALUE!</v>
      </c>
      <c r="B50" s="80" t="str">
        <f t="array" aca="1" ref="B50" ca="1">IFERROR(MID(C50,MATCH(TRUE,ISNUMBER(MID(C50,ROW(INDIRECT("1:"&amp;LEN(C50))),1)*1),0),10),"")</f>
        <v/>
      </c>
      <c r="C50" s="84" t="str">
        <v/>
      </c>
      <c r="E50" t="str">
        <v/>
      </c>
    </row>
    <row r="51" spans="1:10" x14ac:dyDescent="0.3">
      <c r="A51" s="84" t="e">
        <f t="array" ref="A51">LEFT(C51,MIN(IF(ISNUMBER(-MID(C51,ROW($18:$31),1)),ROW($18:$31)))-2)</f>
        <v>#VALUE!</v>
      </c>
      <c r="B51" s="80" t="str">
        <f t="array" aca="1" ref="B51" ca="1">IFERROR(MID(C51,MATCH(TRUE,ISNUMBER(MID(C51,ROW(INDIRECT("1:"&amp;LEN(C51))),1)*1),0),10),"")</f>
        <v/>
      </c>
      <c r="C51" s="84" t="str">
        <v/>
      </c>
      <c r="E51" t="str">
        <v/>
      </c>
    </row>
    <row r="52" spans="1:10" x14ac:dyDescent="0.3">
      <c r="A52" s="80" t="e">
        <f t="array" ref="A52">LEFT(C52,MIN(IF(ISNUMBER(-MID(C52,ROW($18:$31),1)),ROW($18:$31)))-2)</f>
        <v>#VALUE!</v>
      </c>
      <c r="B52" s="80" t="str">
        <f t="array" aca="1" ref="B52" ca="1">IFERROR(MID(C52,MATCH(TRUE,ISNUMBER(MID(C52,ROW(INDIRECT("1:"&amp;LEN(C52))),1)*1),0),10),"")</f>
        <v/>
      </c>
      <c r="C52" s="80" t="str">
        <v/>
      </c>
      <c r="E52" t="str">
        <v/>
      </c>
    </row>
    <row r="53" spans="1:10" x14ac:dyDescent="0.3">
      <c r="A53" s="80" t="e">
        <f t="array" ref="A53">LEFT(C53,MIN(IF(ISNUMBER(-MID(C53,ROW($18:$31),1)),ROW($18:$31)))-2)</f>
        <v>#VALUE!</v>
      </c>
      <c r="B53" s="80" t="str">
        <f t="array" aca="1" ref="B53" ca="1">IFERROR(MID(C53,MATCH(TRUE,ISNUMBER(MID(C53,ROW(INDIRECT("1:"&amp;LEN(C53))),1)*1),0),10),"")</f>
        <v/>
      </c>
      <c r="C53" s="80" t="str">
        <v/>
      </c>
      <c r="E53" t="str">
        <v/>
      </c>
    </row>
    <row r="54" spans="1:10" x14ac:dyDescent="0.3">
      <c r="A54" s="80" t="e">
        <f t="array" ref="A54">LEFT(C54,MIN(IF(ISNUMBER(-MID(C54,ROW($18:$31),1)),ROW($18:$31)))-2)</f>
        <v>#VALUE!</v>
      </c>
      <c r="B54" s="80" t="str">
        <f t="array" aca="1" ref="B54" ca="1">IFERROR(MID(C54,MATCH(TRUE,ISNUMBER(MID(C54,ROW(INDIRECT("1:"&amp;LEN(C54))),1)*1),0),10),"")</f>
        <v/>
      </c>
      <c r="C54" s="80" t="str">
        <v/>
      </c>
      <c r="E54" t="str">
        <v/>
      </c>
    </row>
    <row r="55" spans="1:10" x14ac:dyDescent="0.3">
      <c r="A55" s="80" t="e">
        <f t="array" ref="A55">LEFT(C55,MIN(IF(ISNUMBER(-MID(C55,ROW($18:$31),1)),ROW($18:$31)))-2)</f>
        <v>#VALUE!</v>
      </c>
      <c r="B55" s="80" t="str">
        <f t="array" aca="1" ref="B55" ca="1">IFERROR(MID(C55,MATCH(TRUE,ISNUMBER(MID(C55,ROW(INDIRECT("1:"&amp;LEN(C55))),1)*1),0),10),"")</f>
        <v/>
      </c>
      <c r="C55" s="80" t="str">
        <v/>
      </c>
      <c r="E55" t="str">
        <v/>
      </c>
    </row>
    <row r="56" spans="1:10" x14ac:dyDescent="0.3">
      <c r="C56" t="s">
        <v>607</v>
      </c>
    </row>
    <row r="57" spans="1:10" x14ac:dyDescent="0.3">
      <c r="A57" s="80" t="s">
        <v>318</v>
      </c>
      <c r="B57" s="80">
        <v>150</v>
      </c>
      <c r="C57" s="80">
        <v>152</v>
      </c>
      <c r="D57" s="80">
        <f>ROW()</f>
        <v>57</v>
      </c>
      <c r="E57" t="s">
        <v>609</v>
      </c>
      <c r="J57" t="s">
        <v>612</v>
      </c>
    </row>
    <row r="58" spans="1:10" x14ac:dyDescent="0.3">
      <c r="A58" s="84" t="str">
        <f t="array" ref="A58:A68">IFERROR(INDEX(КБК!E876:E887,SMALL(IF((($C$57=КБК!F878:F887)*($B$57=КБК!G878:G887)*(NOT(ISERR(SEARCH(ПОКАЗАТЕЛИ!$O$1,КБК!D878:D887))))),ROW(КБК!E876:E887)-КБК!A825,""),ROW()-$D$57)),"")</f>
        <v/>
      </c>
      <c r="B58" s="80" t="str">
        <f ca="1">IFERROR(MID(I58,MATCH(TRUE,ISNUMBER(MID(I58,ROW(INDIRECT("1:"&amp;LEN(I58))),1)*1),0),10),"")</f>
        <v/>
      </c>
      <c r="C58" s="80" t="e">
        <f t="array" ref="C58">LEFT((IFERROR(INDEX(КБК!E876:E887,SMALL(IF(((152=КБК!F878:F887)*("Ф"=КБК!I876:I887)*(NOT(ISERR(SEARCH(ПОКАЗАТЕЛИ!$O$1,КБК!D878:D887))))),ROW(КБК!E876:E887)-КБК!A825,""),ROW()-$D$57)),"")),MIN(IF(ISNUMBER(-MID((IFERROR(INDEX(КБК!E876:E887,SMALL(IF(((152=КБК!F878:F887)*("Ф"=КБК!I876:I887)*(NOT(ISERR(SEARCH(ПОКАЗАТЕЛИ!$O$1,КБК!D878:D887))))),ROW(КБК!E876:E887)-КБК!A825,""),ROW()-$D$57)),"")),ROW($18:$31),1)),ROW($18:$31)))-2)</f>
        <v>#VALUE!</v>
      </c>
      <c r="D58" s="80"/>
      <c r="E58" t="str">
        <f>IF(OR(LEFT(RIGHT(A58,13),1)={"A","D","E","F","G","I","L","N","P","R","S","T","V"}),"Ф","")</f>
        <v/>
      </c>
      <c r="F58" t="str">
        <f t="array" ref="F58:F68">IF(OR(LEFT(RIGHT((IFERROR(INDEX(КБК!E876:E887,SMALL(IF((($C$57=КБК!F878:F887)*($B$57=КБК!G878:G887)*(NOT(ISERR(SEARCH(ПОКАЗАТЕЛИ!$O$1,КБК!D878:D887))))),ROW(КБК!E876:E887)-КБК!A825,""),ROW()-$D$57)),"")),13),1)={"A","D","E","F","G","I","L","N","P","R","S","T","V"}),"ДА","НЕТ")</f>
        <v>НЕТ</v>
      </c>
      <c r="G58" t="b">
        <f t="array" ref="G58">OR(LEFT(RIGHT((IFERROR(INDEX(КБК!E876:E887,SMALL(IF((($C$57=КБК!F878:F887)*($B$57=КБК!G878:G887)*(NOT(ISERR(SEARCH(ПОКАЗАТЕЛИ!$O$1,КБК!D878:D887))))),ROW(КБК!E876:E887)-КБК!A825,""),ROW()-$D$57)),"")),13),1)={"A","D","E","F","G","I","L","N","P","R","S","T","V"})</f>
        <v>0</v>
      </c>
      <c r="I58" s="51" t="str">
        <f t="array" ref="I58:I68">IFERROR(INDEX(КБК!E876:E887,SMALL(IF(((152=КБК!F878:F887)*("Ф"=КБК!I876:I887)*(NOT(ISERR(SEARCH(ПОКАЗАТЕЛИ!$O$1,КБК!D878:D887))))),ROW(КБК!E876:E887)-КБК!A825,""),ROW()-$D$57)),"")</f>
        <v/>
      </c>
    </row>
    <row r="59" spans="1:10" x14ac:dyDescent="0.3">
      <c r="A59" s="84" t="str">
        <v/>
      </c>
      <c r="B59" s="80" t="str">
        <f t="array" aca="1" ref="B59" ca="1">IFERROR(MID(I59,MATCH(TRUE,ISNUMBER(MID(I59,ROW(INDIRECT("1:"&amp;LEN(I59))),1)*1),0),10),"")</f>
        <v/>
      </c>
      <c r="C59" s="80" t="e">
        <f t="array" ref="C59">LEFT(I59,MIN(IF(ISNUMBER(-MID(I59,ROW($18:$31),1)),ROW($18:$31)))-2)</f>
        <v>#VALUE!</v>
      </c>
      <c r="D59" s="80"/>
      <c r="E59" t="str">
        <f>IF(OR(LEFT(RIGHT(A59,13),1)={"A","D","E","F","G","I","L","N","P","R","S","T","V"}),"Ф","")</f>
        <v/>
      </c>
      <c r="F59" t="str">
        <v>НЕТ</v>
      </c>
      <c r="G59" t="b">
        <f t="array" ref="G59">OR(LEFT(RIGHT(A59,13),1)={"A","D","E","F","G","I","L","N","P","R","S","T","V"})</f>
        <v>0</v>
      </c>
      <c r="I59" s="51" t="str">
        <v/>
      </c>
    </row>
    <row r="60" spans="1:10" x14ac:dyDescent="0.3">
      <c r="A60" s="84" t="str">
        <v/>
      </c>
      <c r="B60" s="80" t="str">
        <f t="array" aca="1" ref="B60" ca="1">IFERROR(MID(I60,MATCH(TRUE,ISNUMBER(MID(I60,ROW(INDIRECT("1:"&amp;LEN(I60))),1)*1),0),10),"")</f>
        <v/>
      </c>
      <c r="C60" s="80" t="e">
        <f t="array" ref="C60">LEFT(I60,MIN(IF(ISNUMBER(-MID(I60,ROW($18:$31),1)),ROW($18:$31)))-2)</f>
        <v>#VALUE!</v>
      </c>
      <c r="D60" s="80"/>
      <c r="E60" t="str">
        <f>IF(OR(LEFT(RIGHT(A60,13),1)={"A","D","E","F","G","I","L","N","P","R","S","T","V"}),"Ф","")</f>
        <v/>
      </c>
      <c r="F60" t="str">
        <v>НЕТ</v>
      </c>
      <c r="G60" t="b">
        <f t="array" ref="G60">OR(LEFT(RIGHT(A60,13),1)={"A","D","E","F","G","I","L","N","P","R","S","T","V"})</f>
        <v>0</v>
      </c>
      <c r="I60" s="51" t="str">
        <v/>
      </c>
    </row>
    <row r="61" spans="1:10" x14ac:dyDescent="0.3">
      <c r="A61" s="84" t="str">
        <v/>
      </c>
      <c r="B61" s="80" t="str">
        <f t="array" aca="1" ref="B61" ca="1">IFERROR(MID(I61,MATCH(TRUE,ISNUMBER(MID(I61,ROW(INDIRECT("1:"&amp;LEN(I61))),1)*1),0),10),"")</f>
        <v/>
      </c>
      <c r="C61" s="80" t="e">
        <f t="array" ref="C61">LEFT(I61,MIN(IF(ISNUMBER(-MID(I61,ROW($18:$31),1)),ROW($18:$31)))-2)</f>
        <v>#VALUE!</v>
      </c>
      <c r="D61" s="80"/>
      <c r="E61" t="str">
        <f>IF(OR(LEFT(RIGHT(A61,13),1)={"A","D","E","F","G","I","L","N","P","R","S","T","V"}),"Ф","")</f>
        <v/>
      </c>
      <c r="F61" t="str">
        <v>НЕТ</v>
      </c>
      <c r="G61" t="b">
        <f t="array" ref="G61">OR(LEFT(RIGHT(A61,13),1)={"A","D","E","F","G","I","L","N","P","R","S","T","V"})</f>
        <v>0</v>
      </c>
      <c r="I61" s="51" t="str">
        <v/>
      </c>
    </row>
    <row r="62" spans="1:10" x14ac:dyDescent="0.3">
      <c r="A62" s="84" t="str">
        <v/>
      </c>
      <c r="B62" s="80" t="str">
        <f t="array" aca="1" ref="B62" ca="1">IFERROR(MID(I62,MATCH(TRUE,ISNUMBER(MID(I62,ROW(INDIRECT("1:"&amp;LEN(I62))),1)*1),0),10),"")</f>
        <v/>
      </c>
      <c r="C62" s="80" t="e">
        <f t="array" ref="C62">LEFT(I62,MIN(IF(ISNUMBER(-MID(I62,ROW($18:$31),1)),ROW($18:$31)))-2)</f>
        <v>#VALUE!</v>
      </c>
      <c r="D62" s="80"/>
      <c r="E62" t="str">
        <f>IF(OR(LEFT(RIGHT(A62,13),1)={"A","D","E","F","G","I","L","N","P","R","S","T","V"}),"Ф","")</f>
        <v/>
      </c>
      <c r="F62" t="str">
        <v>НЕТ</v>
      </c>
      <c r="G62" t="b">
        <f t="array" ref="G62">OR(LEFT(RIGHT(A62,13),1)={"A","D","E","F","G","I","L","N","P","R","S","T","V"})</f>
        <v>0</v>
      </c>
      <c r="I62" s="51" t="str">
        <v/>
      </c>
    </row>
    <row r="63" spans="1:10" x14ac:dyDescent="0.3">
      <c r="A63" s="84" t="str">
        <v/>
      </c>
      <c r="B63" s="80" t="str">
        <f t="array" aca="1" ref="B63" ca="1">IFERROR(MID(I63,MATCH(TRUE,ISNUMBER(MID(I63,ROW(INDIRECT("1:"&amp;LEN(I63))),1)*1),0),10),"")</f>
        <v/>
      </c>
      <c r="C63" s="80" t="e">
        <f t="array" ref="C63">LEFT(I63,MIN(IF(ISNUMBER(-MID(I63,ROW($18:$31),1)),ROW($18:$31)))-2)</f>
        <v>#VALUE!</v>
      </c>
      <c r="D63" s="80"/>
      <c r="E63" t="str">
        <f>IF(OR(LEFT(RIGHT(A63,13),1)={"A","D","E","F","G","I","L","N","P","R","S","T","V"}),"Ф","")</f>
        <v/>
      </c>
      <c r="F63" t="str">
        <v>НЕТ</v>
      </c>
      <c r="G63" t="b">
        <f t="array" ref="G63">OR(LEFT(RIGHT(A63,13),1)={"A","D","E","F","G","I","L","N","P","R","S","T","V"})</f>
        <v>0</v>
      </c>
      <c r="I63" s="51" t="str">
        <v/>
      </c>
    </row>
    <row r="64" spans="1:10" x14ac:dyDescent="0.3">
      <c r="A64" s="84" t="str">
        <v/>
      </c>
      <c r="B64" s="80" t="str">
        <f t="array" aca="1" ref="B64" ca="1">IFERROR(MID(I64,MATCH(TRUE,ISNUMBER(MID(I64,ROW(INDIRECT("1:"&amp;LEN(I64))),1)*1),0),10),"")</f>
        <v/>
      </c>
      <c r="C64" s="80" t="e">
        <f t="array" ref="C64">LEFT(I64,MIN(IF(ISNUMBER(-MID(I64,ROW($18:$31),1)),ROW($18:$31)))-2)</f>
        <v>#VALUE!</v>
      </c>
      <c r="D64" s="80"/>
      <c r="E64" t="str">
        <f>IF(OR(LEFT(RIGHT(A64,13),1)={"A","D","E","F","G","I","L","N","P","R","S","T","V"}),"Ф","")</f>
        <v/>
      </c>
      <c r="F64" t="str">
        <v>НЕТ</v>
      </c>
      <c r="G64" t="b">
        <f t="array" ref="G64">OR(LEFT(RIGHT(A64,13),1)={"A","D","E","F","G","I","L","N","P","R","S","T","V"})</f>
        <v>0</v>
      </c>
      <c r="I64" s="51" t="str">
        <v/>
      </c>
    </row>
    <row r="65" spans="1:9" x14ac:dyDescent="0.3">
      <c r="A65" s="84" t="str">
        <v/>
      </c>
      <c r="B65" s="80" t="str">
        <f t="array" aca="1" ref="B65" ca="1">IFERROR(MID(I65,MATCH(TRUE,ISNUMBER(MID(I65,ROW(INDIRECT("1:"&amp;LEN(I65))),1)*1),0),10),"")</f>
        <v/>
      </c>
      <c r="C65" s="80" t="e">
        <f t="array" ref="C65">LEFT(I65,MIN(IF(ISNUMBER(-MID(I65,ROW($18:$31),1)),ROW($18:$31)))-2)</f>
        <v>#VALUE!</v>
      </c>
      <c r="D65" s="80"/>
      <c r="E65" t="str">
        <f>IF(OR(LEFT(RIGHT(A65,13),1)={"A","D","E","F","G","I","L","N","P","R","S","T","V"}),"Ф","")</f>
        <v/>
      </c>
      <c r="F65" t="str">
        <v>НЕТ</v>
      </c>
      <c r="G65" t="b">
        <f t="array" ref="G65">OR(LEFT(RIGHT(A65,13),1)={"A","D","E","F","G","I","L","N","P","R","S","T","V"})</f>
        <v>0</v>
      </c>
      <c r="I65" s="51" t="str">
        <v/>
      </c>
    </row>
    <row r="66" spans="1:9" x14ac:dyDescent="0.3">
      <c r="A66" s="84" t="str">
        <v/>
      </c>
      <c r="B66" s="80" t="str">
        <f t="array" aca="1" ref="B66" ca="1">IFERROR(MID(I66,MATCH(TRUE,ISNUMBER(MID(I66,ROW(INDIRECT("1:"&amp;LEN(I66))),1)*1),0),10),"")</f>
        <v/>
      </c>
      <c r="C66" s="80" t="e">
        <f t="array" ref="C66">LEFT(I66,MIN(IF(ISNUMBER(-MID(I66,ROW($18:$31),1)),ROW($18:$31)))-2)</f>
        <v>#VALUE!</v>
      </c>
      <c r="D66" s="80"/>
      <c r="E66" t="str">
        <f>IF(OR(LEFT(RIGHT(A66,13),1)={"A","D","E","F","G","I","L","N","P","R","S","T","V"}),"Ф","")</f>
        <v/>
      </c>
      <c r="F66" t="str">
        <v>НЕТ</v>
      </c>
      <c r="G66" t="b">
        <f t="array" ref="G66">OR(LEFT(RIGHT(A66,13),1)={"A","D","E","F","G","I","L","N","P","R","S","T","V"})</f>
        <v>0</v>
      </c>
      <c r="I66" s="51" t="str">
        <v/>
      </c>
    </row>
    <row r="67" spans="1:9" x14ac:dyDescent="0.3">
      <c r="A67" s="84" t="str">
        <v/>
      </c>
      <c r="B67" s="80" t="str">
        <f t="array" aca="1" ref="B67" ca="1">IFERROR(MID(I67,MATCH(TRUE,ISNUMBER(MID(I67,ROW(INDIRECT("1:"&amp;LEN(I67))),1)*1),0),10),"")</f>
        <v/>
      </c>
      <c r="C67" s="80" t="e">
        <f t="array" ref="C67">LEFT(I67,MIN(IF(ISNUMBER(-MID(I67,ROW($18:$31),1)),ROW($18:$31)))-2)</f>
        <v>#VALUE!</v>
      </c>
      <c r="D67" s="80"/>
      <c r="E67" t="str">
        <f>IF(OR(LEFT(RIGHT(A67,13),1)={"A","D","E","F","G","I","L","N","P","R","S","T","V"}),"Ф","")</f>
        <v/>
      </c>
      <c r="F67" t="str">
        <v>НЕТ</v>
      </c>
      <c r="G67" t="b">
        <f t="array" ref="G67">OR(LEFT(RIGHT(A67,13),1)={"A","D","E","F","G","I","L","N","P","R","S","T","V"})</f>
        <v>0</v>
      </c>
      <c r="I67" s="51" t="str">
        <v/>
      </c>
    </row>
    <row r="68" spans="1:9" x14ac:dyDescent="0.3">
      <c r="A68" s="84" t="str">
        <v/>
      </c>
      <c r="B68" s="80" t="str">
        <f t="array" aca="1" ref="B68" ca="1">IFERROR(MID(I68,MATCH(TRUE,ISNUMBER(MID(I68,ROW(INDIRECT("1:"&amp;LEN(I68))),1)*1),0),10),"")</f>
        <v/>
      </c>
      <c r="C68" s="80" t="e">
        <f t="array" ref="C68">LEFT(I68,MIN(IF(ISNUMBER(-MID(I68,ROW($18:$31),1)),ROW($18:$31)))-2)</f>
        <v>#VALUE!</v>
      </c>
      <c r="D68" s="80"/>
      <c r="E68" t="str">
        <f>IF(OR(LEFT(RIGHT(A68,13),1)={"A","D","E","F","G","I","L","N","P","R","S","T","V"}),"Ф","")</f>
        <v/>
      </c>
      <c r="F68" t="str">
        <v>НЕТ</v>
      </c>
      <c r="G68" t="b">
        <f t="array" ref="G68">OR(LEFT(RIGHT(A68,13),1)={"A","D","E","F","G","I","L","N","P","R","S","T","V"})</f>
        <v>0</v>
      </c>
      <c r="I68" s="51" t="str">
        <v/>
      </c>
    </row>
    <row r="69" spans="1:9" x14ac:dyDescent="0.3">
      <c r="A69" s="80" t="s">
        <v>337</v>
      </c>
      <c r="B69" s="80">
        <v>150</v>
      </c>
      <c r="C69" s="80">
        <v>162</v>
      </c>
      <c r="D69" s="80">
        <f>ROW()</f>
        <v>69</v>
      </c>
    </row>
    <row r="70" spans="1:9" x14ac:dyDescent="0.3">
      <c r="A70" s="80" t="str">
        <f t="array" ref="A70:A77">IFERROR(INDEX(КБК!E876:E887,SMALL(IF((($C$69=КБК!F878:F887)*($B$69=КБК!G878:G887)*(NOT(ISERR(SEARCH(ПОКАЗАТЕЛИ!$O$1,КБК!D878:D887))))),ROW(КБК!E876:E887)-КБК!A825,""),ROW()-$D$69)),"")</f>
        <v/>
      </c>
      <c r="B70" s="80"/>
      <c r="C70" s="80"/>
      <c r="D70" s="80"/>
      <c r="E70" t="str">
        <f>IF(OR(LEFT(RIGHT(A70,13),1)={"A","D","E","F","G","I","L","N","P","R","S","T","V"}),"Ф","")</f>
        <v/>
      </c>
      <c r="I70" t="str">
        <f t="array" ref="I70:I77">IFERROR(INDEX(КБК!E876:E887,SMALL(IF(((162=КБК!F878:F887)*("Ф"=КБК!I876:I887)*(NOT(ISERR(SEARCH(ПОКАЗАТЕЛИ!$O$1,КБК!D878:D887))))),ROW(КБК!E876:E887)-КБК!A825,""),ROW()-$D$69)),"")</f>
        <v/>
      </c>
    </row>
    <row r="71" spans="1:9" x14ac:dyDescent="0.3">
      <c r="A71" s="80" t="str">
        <v/>
      </c>
      <c r="B71" s="80"/>
      <c r="C71" s="80"/>
      <c r="D71" s="80"/>
      <c r="E71" t="str">
        <f>IF(OR(LEFT(RIGHT(A71,13),1)={"A","D","E","F","G","I","L","N","P","R","S","T","V"}),"Ф","")</f>
        <v/>
      </c>
      <c r="I71" t="str">
        <v/>
      </c>
    </row>
    <row r="72" spans="1:9" x14ac:dyDescent="0.3">
      <c r="A72" s="80" t="str">
        <v/>
      </c>
      <c r="B72" s="80"/>
      <c r="C72" s="80"/>
      <c r="D72" s="80"/>
      <c r="E72" t="str">
        <f>IF(OR(LEFT(RIGHT(A72,13),1)={"A","D","E","F","G","I","L","N","P","R","S","T","V"}),"Ф","")</f>
        <v/>
      </c>
      <c r="I72" t="str">
        <v/>
      </c>
    </row>
    <row r="73" spans="1:9" x14ac:dyDescent="0.3">
      <c r="A73" s="80" t="str">
        <v/>
      </c>
      <c r="B73" s="80"/>
      <c r="C73" s="80"/>
      <c r="D73" s="80"/>
      <c r="E73" t="str">
        <f>IF(OR(LEFT(RIGHT(A73,13),1)={"A","D","E","F","G","I","L","N","P","R","S","T","V"}),"Ф","")</f>
        <v/>
      </c>
      <c r="I73" t="str">
        <v/>
      </c>
    </row>
    <row r="74" spans="1:9" x14ac:dyDescent="0.3">
      <c r="A74" s="80" t="str">
        <v/>
      </c>
      <c r="B74" s="80"/>
      <c r="C74" s="80"/>
      <c r="D74" s="80"/>
      <c r="E74" t="str">
        <f>IF(OR(LEFT(RIGHT(A74,13),1)={"A","D","E","F","G","I","L","N","P","R","S","T","V"}),"Ф","")</f>
        <v/>
      </c>
      <c r="F74">
        <v>173</v>
      </c>
      <c r="G74">
        <f>IF({152.162}=F73:F75,1,2)</f>
        <v>2</v>
      </c>
      <c r="I74" t="str">
        <v/>
      </c>
    </row>
    <row r="75" spans="1:9" x14ac:dyDescent="0.3">
      <c r="A75" s="80" t="str">
        <v/>
      </c>
      <c r="B75" s="80"/>
      <c r="C75" s="80"/>
      <c r="D75" s="80"/>
      <c r="E75" t="str">
        <f>IF(OR(LEFT(RIGHT(A75,13),1)={"A","D","E","F","G","I","L","N","P","R","S","T","V"}),"Ф","")</f>
        <v/>
      </c>
      <c r="F75">
        <v>162</v>
      </c>
      <c r="I75" t="str">
        <v/>
      </c>
    </row>
    <row r="76" spans="1:9" x14ac:dyDescent="0.3">
      <c r="A76" s="80" t="str">
        <v/>
      </c>
      <c r="B76" s="80"/>
      <c r="C76" s="80"/>
      <c r="D76" s="80"/>
      <c r="E76" t="str">
        <f>IF(OR(LEFT(RIGHT(A76,13),1)={"A","D","E","F","G","I","L","N","P","R","S","T","V"}),"Ф","")</f>
        <v/>
      </c>
      <c r="F76">
        <v>173</v>
      </c>
      <c r="I76" t="str">
        <v/>
      </c>
    </row>
    <row r="77" spans="1:9" x14ac:dyDescent="0.3">
      <c r="A77" s="80" t="str">
        <v/>
      </c>
      <c r="B77" s="80"/>
      <c r="C77" s="80"/>
      <c r="D77" s="80"/>
      <c r="E77" t="str">
        <f>IF(OR(LEFT(RIGHT(A77,13),1)={"A","D","E","F","G","I","L","N","P","R","S","T","V"}),"Ф","")</f>
        <v/>
      </c>
      <c r="I77" t="str">
        <v/>
      </c>
    </row>
    <row r="79" spans="1:9" x14ac:dyDescent="0.3">
      <c r="A79" t="s">
        <v>639</v>
      </c>
    </row>
    <row r="80" spans="1:9" x14ac:dyDescent="0.3">
      <c r="A80" t="s">
        <v>644</v>
      </c>
      <c r="B80" t="s">
        <v>645</v>
      </c>
    </row>
    <row r="81" spans="1:8" x14ac:dyDescent="0.3">
      <c r="A81" t="s">
        <v>646</v>
      </c>
    </row>
    <row r="82" spans="1:8" x14ac:dyDescent="0.3">
      <c r="A82" t="s">
        <v>643</v>
      </c>
      <c r="B82" t="s">
        <v>647</v>
      </c>
    </row>
    <row r="83" spans="1:8" x14ac:dyDescent="0.3">
      <c r="A83" t="s">
        <v>642</v>
      </c>
      <c r="B83" t="s">
        <v>648</v>
      </c>
    </row>
    <row r="84" spans="1:8" x14ac:dyDescent="0.3">
      <c r="A84" t="s">
        <v>640</v>
      </c>
      <c r="B84" t="s">
        <v>641</v>
      </c>
    </row>
    <row r="86" spans="1:8" x14ac:dyDescent="0.3">
      <c r="A86" s="489" t="s">
        <v>772</v>
      </c>
      <c r="B86" s="489"/>
      <c r="C86" s="489"/>
      <c r="D86" s="489"/>
      <c r="E86" s="489"/>
      <c r="F86" s="489"/>
      <c r="G86" s="490"/>
      <c r="H86" s="490"/>
    </row>
    <row r="87" spans="1:8" x14ac:dyDescent="0.3">
      <c r="A87" t="s">
        <v>773</v>
      </c>
      <c r="B87" t="s">
        <v>771</v>
      </c>
    </row>
    <row r="88" spans="1:8" x14ac:dyDescent="0.3">
      <c r="B88" t="s">
        <v>774</v>
      </c>
    </row>
    <row r="89" spans="1:8" x14ac:dyDescent="0.3">
      <c r="B89" t="s">
        <v>775</v>
      </c>
    </row>
    <row r="91" spans="1:8" x14ac:dyDescent="0.3">
      <c r="A91" s="489" t="s">
        <v>801</v>
      </c>
      <c r="B91" s="489"/>
      <c r="C91" s="489"/>
      <c r="D91" s="489"/>
      <c r="E91" s="489"/>
      <c r="F91" s="489"/>
      <c r="G91" s="490"/>
      <c r="H91" s="490"/>
    </row>
    <row r="92" spans="1:8" x14ac:dyDescent="0.3">
      <c r="B92" t="s">
        <v>802</v>
      </c>
    </row>
    <row r="93" spans="1:8" x14ac:dyDescent="0.3">
      <c r="A93" t="s">
        <v>727</v>
      </c>
      <c r="B93" t="s">
        <v>803</v>
      </c>
    </row>
    <row r="94" spans="1:8" x14ac:dyDescent="0.3">
      <c r="A94" t="s">
        <v>806</v>
      </c>
      <c r="B94" t="s">
        <v>807</v>
      </c>
    </row>
  </sheetData>
  <sheetProtection password="E80F" sheet="1" objects="1" scenarios="1" formatCells="0" formatColumns="0" formatRows="0" insertColumns="0" insertRows="0" insertHyperlinks="0" deleteColumns="0" deleteRows="0" sort="0" autoFilter="0" pivotTables="0"/>
  <mergeCells count="6">
    <mergeCell ref="A91:H91"/>
    <mergeCell ref="A37:H37"/>
    <mergeCell ref="A13:H13"/>
    <mergeCell ref="A1:H1"/>
    <mergeCell ref="A10:H10"/>
    <mergeCell ref="A86:H86"/>
  </mergeCells>
  <hyperlinks>
    <hyperlink ref="B5" r:id="rId1"/>
    <hyperlink ref="B6" r:id="rId2"/>
    <hyperlink ref="B7" r:id="rId3"/>
  </hyperlinks>
  <pageMargins left="0.7" right="0.7" top="0.75" bottom="0.75" header="0.3" footer="0.3"/>
  <pageSetup paperSize="9" orientation="portrait"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6</vt:i4>
      </vt:variant>
    </vt:vector>
  </HeadingPairs>
  <TitlesOfParts>
    <vt:vector size="10" baseType="lpstr">
      <vt:lpstr>ТИТУЛ</vt:lpstr>
      <vt:lpstr>ПОКАЗАТЕЛИ</vt:lpstr>
      <vt:lpstr>ЗАКУПКИ</vt:lpstr>
      <vt:lpstr>ИНЫЕ ЦЕЛИ</vt:lpstr>
      <vt:lpstr>'ИНЫЕ ЦЕЛИ'!Заголовки_для_печати</vt:lpstr>
      <vt:lpstr>ПОКАЗАТЕЛИ!Заголовки_для_печати</vt:lpstr>
      <vt:lpstr>ЗАКУПКИ!Область_печати</vt:lpstr>
      <vt:lpstr>'ИНЫЕ ЦЕЛИ'!Область_печати</vt:lpstr>
      <vt:lpstr>ПОКАЗАТЕЛИ!Область_печати</vt:lpstr>
      <vt:lpstr>ТИТУЛ!Область_печати</vt:lpstr>
    </vt:vector>
  </TitlesOfParts>
  <Company>Министерство финансов Мурманской области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klemeshova</dc:creator>
  <cp:lastModifiedBy>кп</cp:lastModifiedBy>
  <cp:lastPrinted>2021-03-23T08:13:15Z</cp:lastPrinted>
  <dcterms:created xsi:type="dcterms:W3CDTF">2015-12-03T07:22:45Z</dcterms:created>
  <dcterms:modified xsi:type="dcterms:W3CDTF">2021-03-23T08:20:18Z</dcterms:modified>
</cp:coreProperties>
</file>